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quince/Dropbox/investi/"/>
    </mc:Choice>
  </mc:AlternateContent>
  <bookViews>
    <workbookView xWindow="0" yWindow="460" windowWidth="28800" windowHeight="16200" tabRatio="500" activeTab="1"/>
  </bookViews>
  <sheets>
    <sheet name="Basics " sheetId="1" r:id="rId1"/>
    <sheet name="DCF" sheetId="2" r:id="rId2"/>
  </sheets>
  <externalReferences>
    <externalReference r:id="rId3"/>
  </externalReferenc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3" i="2" l="1"/>
  <c r="P3" i="2"/>
  <c r="Q3" i="2"/>
  <c r="R3" i="2"/>
  <c r="Y3" i="2"/>
  <c r="Z3" i="2"/>
  <c r="Q40" i="2"/>
  <c r="O5" i="2"/>
  <c r="P5" i="2"/>
  <c r="Q5" i="2"/>
  <c r="R5" i="2"/>
  <c r="Y5" i="2"/>
  <c r="P6" i="2"/>
  <c r="Q6" i="2"/>
  <c r="R6" i="2"/>
  <c r="Y6" i="2"/>
  <c r="O7" i="2"/>
  <c r="P7" i="2"/>
  <c r="Q7" i="2"/>
  <c r="R7" i="2"/>
  <c r="Y7" i="2"/>
  <c r="Y8" i="2"/>
  <c r="Y9" i="2"/>
  <c r="Y10" i="2"/>
  <c r="N11" i="2"/>
  <c r="O11" i="2"/>
  <c r="P11" i="2"/>
  <c r="Q11" i="2"/>
  <c r="R11" i="2"/>
  <c r="Y11" i="2"/>
  <c r="Y12" i="2"/>
  <c r="Y13" i="2"/>
  <c r="Y14" i="2"/>
  <c r="Z5" i="2"/>
  <c r="Z6" i="2"/>
  <c r="Z7" i="2"/>
  <c r="Z8" i="2"/>
  <c r="Z9" i="2"/>
  <c r="Z10" i="2"/>
  <c r="Z11" i="2"/>
  <c r="Z12" i="2"/>
  <c r="Z13" i="2"/>
  <c r="Z14" i="2"/>
  <c r="AA3" i="2"/>
  <c r="AA5" i="2"/>
  <c r="AA6" i="2"/>
  <c r="AA7" i="2"/>
  <c r="AA8" i="2"/>
  <c r="AA9" i="2"/>
  <c r="AA10" i="2"/>
  <c r="AA11" i="2"/>
  <c r="AA12" i="2"/>
  <c r="AA13" i="2"/>
  <c r="AA14" i="2"/>
  <c r="AB3" i="2"/>
  <c r="AB5" i="2"/>
  <c r="AB6" i="2"/>
  <c r="AB7" i="2"/>
  <c r="AB8" i="2"/>
  <c r="AB9" i="2"/>
  <c r="AB10" i="2"/>
  <c r="AB11" i="2"/>
  <c r="AB12" i="2"/>
  <c r="AB13" i="2"/>
  <c r="AB14" i="2"/>
  <c r="AC3" i="2"/>
  <c r="AC5" i="2"/>
  <c r="AC6" i="2"/>
  <c r="AC7" i="2"/>
  <c r="AC8" i="2"/>
  <c r="AC9" i="2"/>
  <c r="AC10" i="2"/>
  <c r="AC11" i="2"/>
  <c r="AC12" i="2"/>
  <c r="AC13" i="2"/>
  <c r="AC14" i="2"/>
  <c r="AD3" i="2"/>
  <c r="AD5" i="2"/>
  <c r="AD6" i="2"/>
  <c r="AD7" i="2"/>
  <c r="AD8" i="2"/>
  <c r="AD9" i="2"/>
  <c r="AD10" i="2"/>
  <c r="AD11" i="2"/>
  <c r="AD12" i="2"/>
  <c r="AD13" i="2"/>
  <c r="AD14" i="2"/>
  <c r="AE3" i="2"/>
  <c r="AE5" i="2"/>
  <c r="AE6" i="2"/>
  <c r="AE7" i="2"/>
  <c r="AE8" i="2"/>
  <c r="AE9" i="2"/>
  <c r="AE10" i="2"/>
  <c r="AE11" i="2"/>
  <c r="AE12" i="2"/>
  <c r="AE13" i="2"/>
  <c r="AE14" i="2"/>
  <c r="AF3" i="2"/>
  <c r="AF5" i="2"/>
  <c r="AF6" i="2"/>
  <c r="AF7" i="2"/>
  <c r="AF8" i="2"/>
  <c r="AF9" i="2"/>
  <c r="AF10" i="2"/>
  <c r="AF11" i="2"/>
  <c r="AF12" i="2"/>
  <c r="AF13" i="2"/>
  <c r="AF14" i="2"/>
  <c r="AG3" i="2"/>
  <c r="AG5" i="2"/>
  <c r="AG6" i="2"/>
  <c r="AG7" i="2"/>
  <c r="AG8" i="2"/>
  <c r="AG9" i="2"/>
  <c r="AG10" i="2"/>
  <c r="AG11" i="2"/>
  <c r="AG12" i="2"/>
  <c r="AG13" i="2"/>
  <c r="AG14" i="2"/>
  <c r="AH3" i="2"/>
  <c r="AH5" i="2"/>
  <c r="AH6" i="2"/>
  <c r="AH7" i="2"/>
  <c r="AH8" i="2"/>
  <c r="AH9" i="2"/>
  <c r="AH10" i="2"/>
  <c r="AH11" i="2"/>
  <c r="AH12" i="2"/>
  <c r="AH13" i="2"/>
  <c r="AH14" i="2"/>
  <c r="AI3" i="2"/>
  <c r="AI5" i="2"/>
  <c r="AI6" i="2"/>
  <c r="AI7" i="2"/>
  <c r="AI8" i="2"/>
  <c r="AI9" i="2"/>
  <c r="AI10" i="2"/>
  <c r="AI11" i="2"/>
  <c r="AI12" i="2"/>
  <c r="AI13" i="2"/>
  <c r="AI14" i="2"/>
  <c r="AJ3" i="2"/>
  <c r="AJ5" i="2"/>
  <c r="AJ6" i="2"/>
  <c r="AJ7" i="2"/>
  <c r="AJ8" i="2"/>
  <c r="AJ9" i="2"/>
  <c r="AJ10" i="2"/>
  <c r="AJ11" i="2"/>
  <c r="AJ12" i="2"/>
  <c r="AJ13" i="2"/>
  <c r="AJ14" i="2"/>
  <c r="AK3" i="2"/>
  <c r="AK5" i="2"/>
  <c r="AK6" i="2"/>
  <c r="AK7" i="2"/>
  <c r="AK8" i="2"/>
  <c r="AK9" i="2"/>
  <c r="AK10" i="2"/>
  <c r="AK11" i="2"/>
  <c r="AK12" i="2"/>
  <c r="AK13" i="2"/>
  <c r="AK14" i="2"/>
  <c r="AL3" i="2"/>
  <c r="AL5" i="2"/>
  <c r="AL6" i="2"/>
  <c r="AL7" i="2"/>
  <c r="AL8" i="2"/>
  <c r="AL9" i="2"/>
  <c r="AL10" i="2"/>
  <c r="AL11" i="2"/>
  <c r="AL12" i="2"/>
  <c r="AL13" i="2"/>
  <c r="AL14" i="2"/>
  <c r="AM3" i="2"/>
  <c r="AM5" i="2"/>
  <c r="AM6" i="2"/>
  <c r="AM7" i="2"/>
  <c r="AM8" i="2"/>
  <c r="AM9" i="2"/>
  <c r="AM10" i="2"/>
  <c r="AM11" i="2"/>
  <c r="AM12" i="2"/>
  <c r="AM13" i="2"/>
  <c r="AM14" i="2"/>
  <c r="Q36" i="2"/>
  <c r="N26" i="2"/>
  <c r="N25" i="2"/>
  <c r="Q37" i="2"/>
  <c r="Q38" i="2"/>
  <c r="Q39" i="2"/>
  <c r="AM22" i="2"/>
  <c r="AL22" i="2"/>
  <c r="AK22" i="2"/>
  <c r="AJ22" i="2"/>
  <c r="AI22" i="2"/>
  <c r="AM21" i="2"/>
  <c r="AL21" i="2"/>
  <c r="AK21" i="2"/>
  <c r="AJ21" i="2"/>
  <c r="AI21" i="2"/>
  <c r="AM20" i="2"/>
  <c r="AL20" i="2"/>
  <c r="AK20" i="2"/>
  <c r="AJ20" i="2"/>
  <c r="AI20" i="2"/>
  <c r="AM19" i="2"/>
  <c r="AL19" i="2"/>
  <c r="AK19" i="2"/>
  <c r="AJ19" i="2"/>
  <c r="AI19" i="2"/>
  <c r="AM18" i="2"/>
  <c r="AL18" i="2"/>
  <c r="AK18" i="2"/>
  <c r="AJ18" i="2"/>
  <c r="AI18" i="2"/>
  <c r="AM16" i="2"/>
  <c r="AL16" i="2"/>
  <c r="AK16" i="2"/>
  <c r="AJ16" i="2"/>
  <c r="AI16" i="2"/>
  <c r="AM4" i="2"/>
  <c r="AL4" i="2"/>
  <c r="AK4" i="2"/>
  <c r="AJ4" i="2"/>
  <c r="AI4" i="2"/>
  <c r="AH22" i="2"/>
  <c r="AG22" i="2"/>
  <c r="AF22" i="2"/>
  <c r="AH21" i="2"/>
  <c r="AG21" i="2"/>
  <c r="AF21" i="2"/>
  <c r="AH20" i="2"/>
  <c r="AG20" i="2"/>
  <c r="AF20" i="2"/>
  <c r="AH19" i="2"/>
  <c r="AG19" i="2"/>
  <c r="AF19" i="2"/>
  <c r="AH18" i="2"/>
  <c r="AG18" i="2"/>
  <c r="AF18" i="2"/>
  <c r="AH16" i="2"/>
  <c r="AG16" i="2"/>
  <c r="AF16" i="2"/>
  <c r="AH4" i="2"/>
  <c r="AG4" i="2"/>
  <c r="AF4" i="2"/>
  <c r="AE22" i="2"/>
  <c r="AD22" i="2"/>
  <c r="AE21" i="2"/>
  <c r="AD21" i="2"/>
  <c r="AE20" i="2"/>
  <c r="AD20" i="2"/>
  <c r="AE19" i="2"/>
  <c r="AD19" i="2"/>
  <c r="AE18" i="2"/>
  <c r="AD18" i="2"/>
  <c r="AE16" i="2"/>
  <c r="AE4" i="2"/>
  <c r="AD16" i="2"/>
  <c r="AD4" i="2"/>
  <c r="AC22" i="2"/>
  <c r="AB22" i="2"/>
  <c r="AA22" i="2"/>
  <c r="AC21" i="2"/>
  <c r="AB21" i="2"/>
  <c r="AA21" i="2"/>
  <c r="AC20" i="2"/>
  <c r="AB20" i="2"/>
  <c r="AA20" i="2"/>
  <c r="AC19" i="2"/>
  <c r="AB19" i="2"/>
  <c r="AA19" i="2"/>
  <c r="AC18" i="2"/>
  <c r="AB18" i="2"/>
  <c r="AA18" i="2"/>
  <c r="AC16" i="2"/>
  <c r="AB16" i="2"/>
  <c r="AA16" i="2"/>
  <c r="AC4" i="2"/>
  <c r="AB4" i="2"/>
  <c r="AA4" i="2"/>
  <c r="Z22" i="2"/>
  <c r="Z21" i="2"/>
  <c r="Z20" i="2"/>
  <c r="Z19" i="2"/>
  <c r="Z18" i="2"/>
  <c r="Z16" i="2"/>
  <c r="Z4" i="2"/>
  <c r="Y22" i="2"/>
  <c r="Y21" i="2"/>
  <c r="Y20" i="2"/>
  <c r="X9" i="2"/>
  <c r="Y19" i="2"/>
  <c r="Y18" i="2"/>
  <c r="O4" i="2"/>
  <c r="P4" i="2"/>
  <c r="Q4" i="2"/>
  <c r="R4" i="2"/>
  <c r="Y4" i="2"/>
  <c r="Y16" i="2"/>
  <c r="R9" i="2"/>
  <c r="R10" i="2"/>
  <c r="R12" i="2"/>
  <c r="R13" i="2"/>
  <c r="R22" i="2"/>
  <c r="Q9" i="2"/>
  <c r="Q10" i="2"/>
  <c r="Q12" i="2"/>
  <c r="Q13" i="2"/>
  <c r="Q22" i="2"/>
  <c r="P9" i="2"/>
  <c r="P10" i="2"/>
  <c r="P12" i="2"/>
  <c r="P13" i="2"/>
  <c r="P22" i="2"/>
  <c r="O9" i="2"/>
  <c r="O10" i="2"/>
  <c r="O12" i="2"/>
  <c r="O13" i="2"/>
  <c r="O22" i="2"/>
  <c r="R21" i="2"/>
  <c r="Q21" i="2"/>
  <c r="P21" i="2"/>
  <c r="O21" i="2"/>
  <c r="R20" i="2"/>
  <c r="Q20" i="2"/>
  <c r="P20" i="2"/>
  <c r="O20" i="2"/>
  <c r="R19" i="2"/>
  <c r="Q19" i="2"/>
  <c r="P19" i="2"/>
  <c r="O19" i="2"/>
  <c r="R18" i="2"/>
  <c r="Q18" i="2"/>
  <c r="P18" i="2"/>
  <c r="O18" i="2"/>
  <c r="R14" i="2"/>
  <c r="R16" i="2"/>
  <c r="Q14" i="2"/>
  <c r="Q16" i="2"/>
  <c r="P14" i="2"/>
  <c r="P16" i="2"/>
  <c r="O14" i="2"/>
  <c r="O16" i="2"/>
  <c r="N80" i="2"/>
  <c r="J80" i="2"/>
  <c r="N82" i="2"/>
  <c r="M80" i="2"/>
  <c r="I80" i="2"/>
  <c r="M82" i="2"/>
  <c r="L80" i="2"/>
  <c r="H80" i="2"/>
  <c r="L82" i="2"/>
  <c r="K80" i="2"/>
  <c r="G80" i="2"/>
  <c r="K82" i="2"/>
  <c r="E80" i="2"/>
  <c r="I82" i="2"/>
  <c r="D80" i="2"/>
  <c r="H82" i="2"/>
  <c r="C80" i="2"/>
  <c r="G82" i="2"/>
  <c r="F80" i="2"/>
  <c r="J82" i="2"/>
  <c r="C68" i="2"/>
  <c r="C64" i="2"/>
  <c r="C59" i="2"/>
  <c r="G46" i="2"/>
  <c r="C28" i="2"/>
  <c r="C40" i="2"/>
  <c r="C26" i="2"/>
  <c r="C69" i="2"/>
  <c r="C74" i="2"/>
  <c r="C5" i="2"/>
  <c r="C9" i="2"/>
  <c r="C10" i="2"/>
  <c r="C11" i="2"/>
  <c r="C12" i="2"/>
  <c r="C14" i="2"/>
  <c r="C55" i="2"/>
  <c r="C32" i="2"/>
  <c r="K5" i="2"/>
  <c r="K9" i="2"/>
  <c r="K10" i="2"/>
  <c r="K11" i="2"/>
  <c r="K12" i="2"/>
  <c r="K14" i="2"/>
  <c r="L5" i="2"/>
  <c r="L9" i="2"/>
  <c r="L10" i="2"/>
  <c r="L11" i="2"/>
  <c r="L12" i="2"/>
  <c r="L14" i="2"/>
  <c r="M5" i="2"/>
  <c r="M9" i="2"/>
  <c r="M10" i="2"/>
  <c r="M11" i="2"/>
  <c r="M12" i="2"/>
  <c r="M14" i="2"/>
  <c r="N5" i="2"/>
  <c r="N9" i="2"/>
  <c r="N10" i="2"/>
  <c r="N12" i="2"/>
  <c r="N14" i="2"/>
  <c r="N48" i="2"/>
  <c r="C42" i="2"/>
  <c r="C44" i="2"/>
  <c r="C25" i="2"/>
  <c r="H46" i="2"/>
  <c r="M43" i="2"/>
  <c r="M46" i="2"/>
  <c r="L46" i="2"/>
  <c r="K46" i="2"/>
  <c r="J46" i="2"/>
  <c r="I46" i="2"/>
  <c r="N46" i="2"/>
  <c r="D28" i="2"/>
  <c r="D26" i="2"/>
  <c r="D59" i="2"/>
  <c r="D64" i="2"/>
  <c r="D69" i="2"/>
  <c r="D74" i="2"/>
  <c r="D5" i="2"/>
  <c r="D9" i="2"/>
  <c r="D10" i="2"/>
  <c r="D11" i="2"/>
  <c r="D12" i="2"/>
  <c r="D14" i="2"/>
  <c r="D55" i="2"/>
  <c r="D32" i="2"/>
  <c r="D42" i="2"/>
  <c r="D44" i="2"/>
  <c r="D25" i="2"/>
  <c r="E64" i="2"/>
  <c r="E59" i="2"/>
  <c r="E26" i="2"/>
  <c r="E27" i="2"/>
  <c r="E69" i="2"/>
  <c r="E74" i="2"/>
  <c r="E5" i="2"/>
  <c r="E9" i="2"/>
  <c r="E10" i="2"/>
  <c r="E11" i="2"/>
  <c r="E12" i="2"/>
  <c r="E14" i="2"/>
  <c r="E55" i="2"/>
  <c r="E32" i="2"/>
  <c r="E42" i="2"/>
  <c r="E44" i="2"/>
  <c r="E25" i="2"/>
  <c r="F59" i="2"/>
  <c r="F69" i="2"/>
  <c r="F74" i="2"/>
  <c r="F26" i="2"/>
  <c r="F5" i="2"/>
  <c r="F9" i="2"/>
  <c r="F10" i="2"/>
  <c r="F11" i="2"/>
  <c r="F12" i="2"/>
  <c r="F14" i="2"/>
  <c r="F55" i="2"/>
  <c r="F32" i="2"/>
  <c r="F52" i="2"/>
  <c r="F51" i="2"/>
  <c r="F50" i="2"/>
  <c r="F49" i="2"/>
  <c r="F48" i="2"/>
  <c r="F42" i="2"/>
  <c r="F44" i="2"/>
  <c r="F25" i="2"/>
  <c r="G59" i="2"/>
  <c r="H5" i="2"/>
  <c r="H9" i="2"/>
  <c r="H10" i="2"/>
  <c r="H11" i="2"/>
  <c r="H12" i="2"/>
  <c r="H14" i="2"/>
  <c r="H56" i="2"/>
  <c r="G26" i="2"/>
  <c r="G69" i="2"/>
  <c r="G74" i="2"/>
  <c r="G5" i="2"/>
  <c r="G9" i="2"/>
  <c r="G10" i="2"/>
  <c r="G11" i="2"/>
  <c r="G12" i="2"/>
  <c r="G14" i="2"/>
  <c r="G55" i="2"/>
  <c r="G32" i="2"/>
  <c r="G52" i="2"/>
  <c r="G51" i="2"/>
  <c r="G50" i="2"/>
  <c r="G49" i="2"/>
  <c r="G48" i="2"/>
  <c r="G42" i="2"/>
  <c r="G44" i="2"/>
  <c r="G25" i="2"/>
  <c r="H26" i="2"/>
  <c r="H59" i="2"/>
  <c r="H69" i="2"/>
  <c r="H74" i="2"/>
  <c r="H55" i="2"/>
  <c r="H32" i="2"/>
  <c r="H52" i="2"/>
  <c r="H51" i="2"/>
  <c r="H50" i="2"/>
  <c r="H49" i="2"/>
  <c r="H48" i="2"/>
  <c r="H42" i="2"/>
  <c r="H44" i="2"/>
  <c r="H25" i="2"/>
  <c r="I59" i="2"/>
  <c r="I26" i="2"/>
  <c r="I69" i="2"/>
  <c r="I74" i="2"/>
  <c r="I5" i="2"/>
  <c r="I9" i="2"/>
  <c r="I10" i="2"/>
  <c r="I11" i="2"/>
  <c r="I12" i="2"/>
  <c r="I14" i="2"/>
  <c r="I55" i="2"/>
  <c r="I32" i="2"/>
  <c r="I52" i="2"/>
  <c r="I51" i="2"/>
  <c r="I50" i="2"/>
  <c r="I49" i="2"/>
  <c r="I48" i="2"/>
  <c r="I42" i="2"/>
  <c r="I44" i="2"/>
  <c r="I25" i="2"/>
  <c r="J26" i="2"/>
  <c r="J32" i="2"/>
  <c r="J52" i="2"/>
  <c r="J51" i="2"/>
  <c r="J50" i="2"/>
  <c r="J49" i="2"/>
  <c r="J5" i="2"/>
  <c r="J9" i="2"/>
  <c r="J10" i="2"/>
  <c r="J11" i="2"/>
  <c r="J12" i="2"/>
  <c r="J14" i="2"/>
  <c r="J48" i="2"/>
  <c r="K59" i="2"/>
  <c r="K26" i="2"/>
  <c r="K69" i="2"/>
  <c r="K74" i="2"/>
  <c r="K55" i="2"/>
  <c r="K32" i="2"/>
  <c r="K52" i="2"/>
  <c r="K51" i="2"/>
  <c r="K50" i="2"/>
  <c r="K49" i="2"/>
  <c r="K48" i="2"/>
  <c r="K42" i="2"/>
  <c r="K44" i="2"/>
  <c r="K25" i="2"/>
  <c r="L59" i="2"/>
  <c r="L26" i="2"/>
  <c r="L69" i="2"/>
  <c r="L74" i="2"/>
  <c r="L55" i="2"/>
  <c r="L32" i="2"/>
  <c r="L52" i="2"/>
  <c r="L51" i="2"/>
  <c r="L50" i="2"/>
  <c r="L49" i="2"/>
  <c r="L48" i="2"/>
  <c r="L42" i="2"/>
  <c r="L44" i="2"/>
  <c r="L25" i="2"/>
  <c r="J25" i="2"/>
  <c r="M26" i="2"/>
  <c r="M25" i="2"/>
  <c r="M59" i="2"/>
  <c r="M69" i="2"/>
  <c r="M74" i="2"/>
  <c r="M55" i="2"/>
  <c r="M32" i="2"/>
  <c r="M52" i="2"/>
  <c r="M51" i="2"/>
  <c r="M50" i="2"/>
  <c r="M49" i="2"/>
  <c r="M48" i="2"/>
  <c r="M42" i="2"/>
  <c r="M44" i="2"/>
  <c r="J59" i="2"/>
  <c r="J69" i="2"/>
  <c r="J74" i="2"/>
  <c r="J55" i="2"/>
  <c r="N59" i="2"/>
  <c r="N69" i="2"/>
  <c r="N74" i="2"/>
  <c r="N55" i="2"/>
  <c r="N32" i="2"/>
  <c r="N52" i="2"/>
  <c r="N51" i="2"/>
  <c r="N50" i="2"/>
  <c r="N49" i="2"/>
  <c r="J42" i="2"/>
  <c r="J44" i="2"/>
  <c r="N42" i="2"/>
  <c r="N44" i="2"/>
  <c r="M19" i="2"/>
  <c r="L19" i="2"/>
  <c r="K19" i="2"/>
  <c r="J19" i="2"/>
  <c r="I19" i="2"/>
  <c r="H19" i="2"/>
  <c r="G19" i="2"/>
  <c r="N19" i="2"/>
  <c r="M18" i="2"/>
  <c r="L18" i="2"/>
  <c r="K18" i="2"/>
  <c r="J18" i="2"/>
  <c r="I18" i="2"/>
  <c r="H18" i="2"/>
  <c r="G18" i="2"/>
  <c r="N18" i="2"/>
  <c r="C22" i="2"/>
  <c r="C21" i="2"/>
  <c r="C20" i="2"/>
  <c r="C16" i="2"/>
  <c r="D22" i="2"/>
  <c r="D21" i="2"/>
  <c r="D20" i="2"/>
  <c r="D16" i="2"/>
  <c r="E22" i="2"/>
  <c r="E21" i="2"/>
  <c r="E20" i="2"/>
  <c r="E16" i="2"/>
  <c r="F22" i="2"/>
  <c r="F21" i="2"/>
  <c r="F20" i="2"/>
  <c r="F16" i="2"/>
  <c r="G22" i="2"/>
  <c r="G21" i="2"/>
  <c r="G20" i="2"/>
  <c r="G16" i="2"/>
  <c r="K22" i="2"/>
  <c r="K21" i="2"/>
  <c r="K20" i="2"/>
  <c r="K16" i="2"/>
  <c r="H22" i="2"/>
  <c r="H21" i="2"/>
  <c r="H20" i="2"/>
  <c r="H16" i="2"/>
  <c r="L22" i="2"/>
  <c r="L21" i="2"/>
  <c r="L20" i="2"/>
  <c r="L16" i="2"/>
  <c r="I22" i="2"/>
  <c r="I21" i="2"/>
  <c r="I20" i="2"/>
  <c r="I16" i="2"/>
  <c r="J22" i="2"/>
  <c r="J21" i="2"/>
  <c r="J20" i="2"/>
  <c r="J16" i="2"/>
  <c r="M22" i="2"/>
  <c r="M21" i="2"/>
  <c r="M20" i="2"/>
  <c r="M16" i="2"/>
  <c r="N22" i="2"/>
  <c r="N21" i="2"/>
  <c r="N20" i="2"/>
  <c r="N16" i="2"/>
  <c r="S11" i="2"/>
  <c r="S5" i="2"/>
  <c r="S9" i="2"/>
  <c r="S10" i="2"/>
  <c r="S12" i="2"/>
  <c r="S22" i="2"/>
  <c r="S21" i="2"/>
  <c r="S20" i="2"/>
  <c r="S14" i="2"/>
  <c r="S16" i="2"/>
  <c r="T11" i="2"/>
  <c r="T5" i="2"/>
  <c r="T9" i="2"/>
  <c r="T10" i="2"/>
  <c r="T12" i="2"/>
  <c r="T22" i="2"/>
  <c r="T21" i="2"/>
  <c r="T20" i="2"/>
  <c r="T19" i="2"/>
  <c r="T18" i="2"/>
  <c r="T14" i="2"/>
  <c r="T16" i="2"/>
  <c r="U11" i="2"/>
  <c r="U5" i="2"/>
  <c r="U9" i="2"/>
  <c r="U10" i="2"/>
  <c r="U12" i="2"/>
  <c r="U22" i="2"/>
  <c r="U21" i="2"/>
  <c r="U20" i="2"/>
  <c r="U19" i="2"/>
  <c r="U18" i="2"/>
  <c r="U14" i="2"/>
  <c r="U16" i="2"/>
  <c r="W9" i="2"/>
  <c r="V9" i="2"/>
  <c r="W19" i="2"/>
  <c r="V19" i="2"/>
  <c r="W18" i="2"/>
  <c r="V18" i="2"/>
  <c r="V11" i="2"/>
  <c r="V5" i="2"/>
  <c r="V10" i="2"/>
  <c r="V12" i="2"/>
  <c r="V22" i="2"/>
  <c r="V21" i="2"/>
  <c r="V20" i="2"/>
  <c r="V14" i="2"/>
  <c r="V16" i="2"/>
  <c r="X19" i="2"/>
  <c r="X18" i="2"/>
  <c r="W11" i="2"/>
  <c r="W5" i="2"/>
  <c r="W10" i="2"/>
  <c r="W12" i="2"/>
  <c r="W22" i="2"/>
  <c r="W21" i="2"/>
  <c r="W20" i="2"/>
  <c r="W14" i="2"/>
  <c r="W16" i="2"/>
  <c r="X5" i="2"/>
  <c r="X10" i="2"/>
  <c r="X11" i="2"/>
  <c r="X12" i="2"/>
  <c r="X22" i="2"/>
  <c r="X20" i="2"/>
  <c r="X21" i="2"/>
  <c r="X14" i="2"/>
  <c r="X16" i="2"/>
  <c r="T2" i="2"/>
  <c r="U2" i="2"/>
  <c r="V2" i="2"/>
  <c r="W2" i="2"/>
  <c r="X2" i="2"/>
  <c r="Y2" i="2"/>
  <c r="Z2" i="2"/>
  <c r="AA2" i="2"/>
  <c r="AB2" i="2"/>
  <c r="AC2" i="2"/>
  <c r="AD2" i="2"/>
  <c r="AE2" i="2"/>
  <c r="AF2" i="2"/>
  <c r="AG2" i="2"/>
  <c r="AH2" i="2"/>
  <c r="AI2" i="2"/>
  <c r="AJ2" i="2"/>
  <c r="AK2" i="2"/>
  <c r="AL2" i="2"/>
  <c r="AM2" i="2"/>
  <c r="F6" i="1"/>
  <c r="F7" i="1"/>
  <c r="F9" i="1"/>
</calcChain>
</file>

<file path=xl/comments1.xml><?xml version="1.0" encoding="utf-8"?>
<comments xmlns="http://schemas.openxmlformats.org/spreadsheetml/2006/main">
  <authors>
    <author>Microsoft Office User</author>
  </authors>
  <commentList>
    <comment ref="K2" authorId="0">
      <text>
        <r>
          <rPr>
            <b/>
            <sz val="10"/>
            <color indexed="81"/>
            <rFont val="Calibri"/>
          </rPr>
          <t xml:space="preserve">Microsoft Office User:HBO launches their own streaming service "HBO now"
</t>
        </r>
        <r>
          <rPr>
            <sz val="10"/>
            <color indexed="81"/>
            <rFont val="Calibri"/>
          </rPr>
          <t xml:space="preserve">
</t>
        </r>
      </text>
    </comment>
    <comment ref="L15" authorId="0">
      <text>
        <r>
          <rPr>
            <b/>
            <sz val="10"/>
            <color indexed="81"/>
            <rFont val="Calibri"/>
          </rPr>
          <t>Microsoft Office User:</t>
        </r>
        <r>
          <rPr>
            <sz val="10"/>
            <color indexed="81"/>
            <rFont val="Calibri"/>
          </rPr>
          <t xml:space="preserve">
underwent a stock split 
</t>
        </r>
      </text>
    </comment>
  </commentList>
</comments>
</file>

<file path=xl/sharedStrings.xml><?xml version="1.0" encoding="utf-8"?>
<sst xmlns="http://schemas.openxmlformats.org/spreadsheetml/2006/main" count="102" uniqueCount="98">
  <si>
    <t xml:space="preserve">Price </t>
  </si>
  <si>
    <t xml:space="preserve">Shares </t>
  </si>
  <si>
    <t>March 9th 2016</t>
  </si>
  <si>
    <t>MC</t>
  </si>
  <si>
    <t xml:space="preserve">Cash </t>
  </si>
  <si>
    <t xml:space="preserve">Debt </t>
  </si>
  <si>
    <t>EV</t>
  </si>
  <si>
    <t xml:space="preserve">Revenue </t>
  </si>
  <si>
    <t>Q113</t>
  </si>
  <si>
    <t>Q213</t>
  </si>
  <si>
    <t>Q313</t>
  </si>
  <si>
    <t>Q413</t>
  </si>
  <si>
    <t>Q114</t>
  </si>
  <si>
    <t>Q214</t>
  </si>
  <si>
    <t>Q314</t>
  </si>
  <si>
    <t>Q115</t>
  </si>
  <si>
    <t>Q215</t>
  </si>
  <si>
    <t>Q315</t>
  </si>
  <si>
    <t>Q415</t>
  </si>
  <si>
    <t>Q116</t>
  </si>
  <si>
    <t>Q216</t>
  </si>
  <si>
    <t>Q316</t>
  </si>
  <si>
    <t>Q416</t>
  </si>
  <si>
    <t>COGS</t>
  </si>
  <si>
    <t>S&amp;M</t>
  </si>
  <si>
    <t>R&amp;D</t>
  </si>
  <si>
    <t>G&amp;A</t>
  </si>
  <si>
    <t>Operating Expenses</t>
  </si>
  <si>
    <t>Operating Income</t>
  </si>
  <si>
    <t>Interest Income</t>
  </si>
  <si>
    <t>Pre-tax Income</t>
  </si>
  <si>
    <t>Taxes</t>
  </si>
  <si>
    <t>Net Income</t>
  </si>
  <si>
    <t>Shares</t>
  </si>
  <si>
    <t>EPS</t>
  </si>
  <si>
    <t xml:space="preserve">Gross Profit </t>
  </si>
  <si>
    <t>Revenue y/y</t>
  </si>
  <si>
    <t xml:space="preserve">Gross Margin </t>
  </si>
  <si>
    <t>Operating Margin</t>
  </si>
  <si>
    <t xml:space="preserve">Tax Rate </t>
  </si>
  <si>
    <t>Operating Expenses y/y</t>
  </si>
  <si>
    <t>main</t>
  </si>
  <si>
    <t>Q414</t>
  </si>
  <si>
    <t xml:space="preserve">Net Cash </t>
  </si>
  <si>
    <t>CCA</t>
  </si>
  <si>
    <t>OCA</t>
  </si>
  <si>
    <t>PP&amp;E</t>
  </si>
  <si>
    <t>Other Non-Current Assets</t>
  </si>
  <si>
    <t>Assets</t>
  </si>
  <si>
    <t>CCL</t>
  </si>
  <si>
    <t>A/P</t>
  </si>
  <si>
    <t>A/E</t>
  </si>
  <si>
    <t>Non-Current Content Liabilities</t>
  </si>
  <si>
    <t>Long-term Debt</t>
  </si>
  <si>
    <t>ONCL</t>
  </si>
  <si>
    <t>SE</t>
  </si>
  <si>
    <t>L+SE</t>
  </si>
  <si>
    <t>Other Non-Current Content Assets</t>
  </si>
  <si>
    <t>Liabilities</t>
  </si>
  <si>
    <t>TTM Cash Flow</t>
  </si>
  <si>
    <t>ROE (Return on Equity)</t>
  </si>
  <si>
    <t>ROA (Return on Assets)</t>
  </si>
  <si>
    <t>ROTB (Return on Tangible Book)</t>
  </si>
  <si>
    <t>Buffett Return</t>
  </si>
  <si>
    <t>Model NI</t>
  </si>
  <si>
    <t>Reported NI</t>
  </si>
  <si>
    <t>SBC</t>
  </si>
  <si>
    <t>CFFO</t>
  </si>
  <si>
    <t>FCF</t>
  </si>
  <si>
    <t>Additions to Streaming Content Assets</t>
  </si>
  <si>
    <t>Change in Streaming Content Assets</t>
  </si>
  <si>
    <t>D/A</t>
  </si>
  <si>
    <t>SBC Taxes</t>
  </si>
  <si>
    <t>ONCI</t>
  </si>
  <si>
    <t>D/T</t>
  </si>
  <si>
    <t>Accrued Expenses</t>
  </si>
  <si>
    <t>ONCA/ONCL</t>
  </si>
  <si>
    <t xml:space="preserve">Acquisitions </t>
  </si>
  <si>
    <t>Purchase of PP&amp;E</t>
  </si>
  <si>
    <t>Other Assets</t>
  </si>
  <si>
    <t>D/R</t>
  </si>
  <si>
    <t>SE Growth y/y</t>
  </si>
  <si>
    <t>US Streaming Members</t>
  </si>
  <si>
    <t>International Streaming Members</t>
  </si>
  <si>
    <t>Total Streaming Members</t>
  </si>
  <si>
    <t>US DVD Members</t>
  </si>
  <si>
    <t>US Streaming Members Paid</t>
  </si>
  <si>
    <t>International Streaming Members Paid</t>
  </si>
  <si>
    <t xml:space="preserve">Hulu paying Members </t>
  </si>
  <si>
    <t>Amazon Paying Members</t>
  </si>
  <si>
    <t>HBO Paying Members</t>
  </si>
  <si>
    <t>Streaming Growth y/y</t>
  </si>
  <si>
    <t xml:space="preserve">Discount </t>
  </si>
  <si>
    <t>NPV</t>
  </si>
  <si>
    <t>Net Cash</t>
  </si>
  <si>
    <t xml:space="preserve">Total Value </t>
  </si>
  <si>
    <t xml:space="preserve">Per share </t>
  </si>
  <si>
    <t xml:space="preserve">Current Price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</si>
</sst>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Arial"/>
      <family val="2"/>
    </font>
    <font>
      <sz val="10"/>
      <color indexed="81"/>
      <name val="Calibri"/>
    </font>
    <font>
      <b/>
      <sz val="10"/>
      <color indexed="81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3" fontId="0" fillId="0" borderId="0" xfId="0" applyNumberFormat="1"/>
    <xf numFmtId="0" fontId="0" fillId="0" borderId="0" xfId="0" applyAlignment="1">
      <alignment horizontal="right"/>
    </xf>
    <xf numFmtId="2" fontId="0" fillId="0" borderId="0" xfId="0" applyNumberFormat="1"/>
    <xf numFmtId="0" fontId="1" fillId="0" borderId="0" xfId="0" applyFont="1"/>
    <xf numFmtId="3" fontId="1" fillId="0" borderId="0" xfId="0" applyNumberFormat="1" applyFont="1"/>
    <xf numFmtId="9" fontId="0" fillId="0" borderId="0" xfId="0" applyNumberFormat="1"/>
    <xf numFmtId="0" fontId="2" fillId="0" borderId="0" xfId="1"/>
    <xf numFmtId="9" fontId="1" fillId="0" borderId="0" xfId="0" applyNumberFormat="1" applyFont="1"/>
    <xf numFmtId="3" fontId="3" fillId="0" borderId="0" xfId="0" applyNumberFormat="1" applyFont="1"/>
    <xf numFmtId="9" fontId="0" fillId="0" borderId="0" xfId="0" applyNumberFormat="1" applyFont="1"/>
    <xf numFmtId="3" fontId="5" fillId="0" borderId="0" xfId="0" applyNumberFormat="1" applyFont="1"/>
    <xf numFmtId="3" fontId="0" fillId="0" borderId="0" xfId="0" applyNumberFormat="1" applyFont="1"/>
    <xf numFmtId="3" fontId="0" fillId="0" borderId="1" xfId="0" applyNumberFormat="1" applyBorder="1"/>
    <xf numFmtId="9" fontId="0" fillId="0" borderId="2" xfId="0" applyNumberFormat="1" applyBorder="1"/>
    <xf numFmtId="3" fontId="0" fillId="0" borderId="3" xfId="0" applyNumberFormat="1" applyBorder="1"/>
    <xf numFmtId="3" fontId="0" fillId="0" borderId="4" xfId="0" applyNumberFormat="1" applyBorder="1"/>
    <xf numFmtId="3" fontId="0" fillId="0" borderId="5" xfId="0" applyNumberFormat="1" applyBorder="1"/>
    <xf numFmtId="3" fontId="0" fillId="0" borderId="6" xfId="0" applyNumberFormat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12700</xdr:colOff>
      <xdr:row>1</xdr:row>
      <xdr:rowOff>0</xdr:rowOff>
    </xdr:from>
    <xdr:to>
      <xdr:col>14</xdr:col>
      <xdr:colOff>12700</xdr:colOff>
      <xdr:row>27</xdr:row>
      <xdr:rowOff>177800</xdr:rowOff>
    </xdr:to>
    <xdr:cxnSp macro="">
      <xdr:nvCxnSpPr>
        <xdr:cNvPr id="3" name="Straight Connector 2"/>
        <xdr:cNvCxnSpPr/>
      </xdr:nvCxnSpPr>
      <xdr:spPr>
        <a:xfrm>
          <a:off x="12471400" y="203200"/>
          <a:ext cx="0" cy="54610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12700</xdr:colOff>
      <xdr:row>1</xdr:row>
      <xdr:rowOff>25400</xdr:rowOff>
    </xdr:from>
    <xdr:to>
      <xdr:col>18</xdr:col>
      <xdr:colOff>38100</xdr:colOff>
      <xdr:row>29</xdr:row>
      <xdr:rowOff>63500</xdr:rowOff>
    </xdr:to>
    <xdr:cxnSp macro="">
      <xdr:nvCxnSpPr>
        <xdr:cNvPr id="4" name="Straight Connector 3"/>
        <xdr:cNvCxnSpPr/>
      </xdr:nvCxnSpPr>
      <xdr:spPr>
        <a:xfrm>
          <a:off x="17043400" y="228600"/>
          <a:ext cx="25400" cy="55245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0</xdr:colOff>
      <xdr:row>0</xdr:row>
      <xdr:rowOff>63500</xdr:rowOff>
    </xdr:from>
    <xdr:to>
      <xdr:col>24</xdr:col>
      <xdr:colOff>25400</xdr:colOff>
      <xdr:row>27</xdr:row>
      <xdr:rowOff>101600</xdr:rowOff>
    </xdr:to>
    <xdr:cxnSp macro="">
      <xdr:nvCxnSpPr>
        <xdr:cNvPr id="7" name="Straight Connector 6"/>
        <xdr:cNvCxnSpPr/>
      </xdr:nvCxnSpPr>
      <xdr:spPr>
        <a:xfrm>
          <a:off x="21983700" y="63500"/>
          <a:ext cx="25400" cy="55245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quince/Downloads/Tec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Private"/>
      <sheetName val="Acquisitions"/>
      <sheetName val="Portfolio"/>
    </sheetNames>
    <sheetDataSet>
      <sheetData sheetId="0">
        <row r="12">
          <cell r="D12">
            <v>95.94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Relationship Id="rId3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9"/>
  <sheetViews>
    <sheetView workbookViewId="0">
      <selection activeCell="G9" sqref="G9"/>
    </sheetView>
  </sheetViews>
  <sheetFormatPr baseColWidth="10" defaultRowHeight="16" x14ac:dyDescent="0.2"/>
  <cols>
    <col min="2" max="2" width="16" customWidth="1"/>
    <col min="6" max="6" width="10.83203125" style="1"/>
  </cols>
  <sheetData>
    <row r="2" spans="2:6" x14ac:dyDescent="0.2">
      <c r="B2" t="s">
        <v>2</v>
      </c>
    </row>
    <row r="4" spans="2:6" x14ac:dyDescent="0.2">
      <c r="E4" t="s">
        <v>0</v>
      </c>
      <c r="F4" s="1">
        <v>133.69999999999999</v>
      </c>
    </row>
    <row r="5" spans="2:6" x14ac:dyDescent="0.2">
      <c r="E5" t="s">
        <v>1</v>
      </c>
      <c r="F5" s="1">
        <v>428.08122100000003</v>
      </c>
    </row>
    <row r="6" spans="2:6" x14ac:dyDescent="0.2">
      <c r="E6" t="s">
        <v>3</v>
      </c>
      <c r="F6" s="1">
        <f>F5*F4</f>
        <v>57234.459247699997</v>
      </c>
    </row>
    <row r="7" spans="2:6" x14ac:dyDescent="0.2">
      <c r="E7" t="s">
        <v>4</v>
      </c>
      <c r="F7" s="1">
        <f>1809.33+501.385</f>
        <v>2310.7150000000001</v>
      </c>
    </row>
    <row r="8" spans="2:6" x14ac:dyDescent="0.2">
      <c r="E8" t="s">
        <v>5</v>
      </c>
      <c r="F8" s="1">
        <v>2371.3620000000001</v>
      </c>
    </row>
    <row r="9" spans="2:6" x14ac:dyDescent="0.2">
      <c r="E9" t="s">
        <v>6</v>
      </c>
      <c r="F9" s="1">
        <f>F6-F7+F8</f>
        <v>57295.106247700001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U90"/>
  <sheetViews>
    <sheetView tabSelected="1" workbookViewId="0">
      <pane xSplit="2" ySplit="2" topLeftCell="J4" activePane="bottomRight" state="frozen"/>
      <selection pane="topRight" activeCell="C1" sqref="C1"/>
      <selection pane="bottomLeft" activeCell="A3" sqref="A3"/>
      <selection pane="bottomRight" activeCell="K2" sqref="K2"/>
    </sheetView>
  </sheetViews>
  <sheetFormatPr baseColWidth="10" defaultRowHeight="16" x14ac:dyDescent="0.2"/>
  <cols>
    <col min="1" max="1" width="6" customWidth="1"/>
    <col min="2" max="2" width="32.83203125" customWidth="1"/>
    <col min="3" max="3" width="11.1640625" customWidth="1"/>
    <col min="4" max="18" width="12" customWidth="1"/>
  </cols>
  <sheetData>
    <row r="1" spans="1:48" x14ac:dyDescent="0.2">
      <c r="A1" s="7" t="s">
        <v>41</v>
      </c>
    </row>
    <row r="2" spans="1:48" s="2" customFormat="1" x14ac:dyDescent="0.2"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  <c r="H2" s="2" t="s">
        <v>13</v>
      </c>
      <c r="I2" s="2" t="s">
        <v>14</v>
      </c>
      <c r="J2" s="2" t="s">
        <v>42</v>
      </c>
      <c r="K2" s="2" t="s">
        <v>15</v>
      </c>
      <c r="L2" s="2" t="s">
        <v>16</v>
      </c>
      <c r="M2" s="2" t="s">
        <v>17</v>
      </c>
      <c r="N2" s="2" t="s">
        <v>18</v>
      </c>
      <c r="O2" s="2" t="s">
        <v>19</v>
      </c>
      <c r="P2" s="2" t="s">
        <v>20</v>
      </c>
      <c r="Q2" s="2" t="s">
        <v>21</v>
      </c>
      <c r="R2" s="2" t="s">
        <v>22</v>
      </c>
      <c r="S2" s="2">
        <v>2010</v>
      </c>
      <c r="T2" s="2">
        <f>S2+1</f>
        <v>2011</v>
      </c>
      <c r="U2" s="2">
        <f t="shared" ref="U2:AM2" si="0">T2+1</f>
        <v>2012</v>
      </c>
      <c r="V2" s="2">
        <f t="shared" si="0"/>
        <v>2013</v>
      </c>
      <c r="W2" s="2">
        <f t="shared" si="0"/>
        <v>2014</v>
      </c>
      <c r="X2" s="2">
        <f t="shared" si="0"/>
        <v>2015</v>
      </c>
      <c r="Y2" s="2">
        <f t="shared" si="0"/>
        <v>2016</v>
      </c>
      <c r="Z2" s="2">
        <f t="shared" si="0"/>
        <v>2017</v>
      </c>
      <c r="AA2" s="2">
        <f t="shared" si="0"/>
        <v>2018</v>
      </c>
      <c r="AB2" s="2">
        <f t="shared" si="0"/>
        <v>2019</v>
      </c>
      <c r="AC2" s="2">
        <f t="shared" si="0"/>
        <v>2020</v>
      </c>
      <c r="AD2" s="2">
        <f t="shared" si="0"/>
        <v>2021</v>
      </c>
      <c r="AE2" s="2">
        <f t="shared" si="0"/>
        <v>2022</v>
      </c>
      <c r="AF2" s="2">
        <f t="shared" si="0"/>
        <v>2023</v>
      </c>
      <c r="AG2" s="2">
        <f t="shared" si="0"/>
        <v>2024</v>
      </c>
      <c r="AH2" s="2">
        <f t="shared" si="0"/>
        <v>2025</v>
      </c>
      <c r="AI2" s="2">
        <f t="shared" si="0"/>
        <v>2026</v>
      </c>
      <c r="AJ2" s="2">
        <f t="shared" si="0"/>
        <v>2027</v>
      </c>
      <c r="AK2" s="2">
        <f t="shared" si="0"/>
        <v>2028</v>
      </c>
      <c r="AL2" s="2">
        <f t="shared" si="0"/>
        <v>2029</v>
      </c>
      <c r="AM2" s="2">
        <f t="shared" si="0"/>
        <v>2030</v>
      </c>
    </row>
    <row r="3" spans="1:48" s="4" customFormat="1" x14ac:dyDescent="0.2">
      <c r="B3" s="4" t="s">
        <v>7</v>
      </c>
      <c r="C3" s="5">
        <v>1023.961</v>
      </c>
      <c r="D3" s="5">
        <v>1069.3720000000001</v>
      </c>
      <c r="E3" s="5">
        <v>1105.999</v>
      </c>
      <c r="F3" s="5">
        <v>1175.23</v>
      </c>
      <c r="G3" s="5">
        <v>1270.0889999999999</v>
      </c>
      <c r="H3" s="5">
        <v>1340.4069999999999</v>
      </c>
      <c r="I3" s="5">
        <v>1409.432</v>
      </c>
      <c r="J3" s="5">
        <v>1484.7280000000001</v>
      </c>
      <c r="K3" s="5">
        <v>1573.1289999999999</v>
      </c>
      <c r="L3" s="9">
        <v>1644.694</v>
      </c>
      <c r="M3" s="5">
        <v>1738.355</v>
      </c>
      <c r="N3" s="5">
        <v>1823.3330000000001</v>
      </c>
      <c r="O3" s="5">
        <f>K3*1.23</f>
        <v>1934.9486699999998</v>
      </c>
      <c r="P3" s="5">
        <f t="shared" ref="P3:R3" si="1">L3*1.23</f>
        <v>2022.97362</v>
      </c>
      <c r="Q3" s="5">
        <f t="shared" si="1"/>
        <v>2138.1766499999999</v>
      </c>
      <c r="R3" s="5">
        <f t="shared" si="1"/>
        <v>2242.6995900000002</v>
      </c>
      <c r="S3" s="5">
        <v>2162.625</v>
      </c>
      <c r="T3" s="5">
        <v>3204.5770000000002</v>
      </c>
      <c r="U3" s="5">
        <v>3609.2820000000002</v>
      </c>
      <c r="V3" s="5">
        <v>4374.5619999999999</v>
      </c>
      <c r="W3" s="5">
        <v>5504.6559999999999</v>
      </c>
      <c r="X3" s="5">
        <v>6779.5110000000004</v>
      </c>
      <c r="Y3" s="5">
        <f t="shared" ref="Y3:Y8" si="2">SUM(O3:R3)</f>
        <v>8338.79853</v>
      </c>
      <c r="Z3" s="5">
        <f>Y3*1.22</f>
        <v>10173.3342066</v>
      </c>
      <c r="AA3" s="5">
        <f t="shared" ref="AA3:AC3" si="3">Z3*1.22</f>
        <v>12411.467732052</v>
      </c>
      <c r="AB3" s="5">
        <f t="shared" si="3"/>
        <v>15141.99063310344</v>
      </c>
      <c r="AC3" s="5">
        <f t="shared" si="3"/>
        <v>18473.228572386197</v>
      </c>
      <c r="AD3" s="5">
        <f>AC3*1.18</f>
        <v>21798.40971541571</v>
      </c>
      <c r="AE3" s="5">
        <f>AD3*1.18</f>
        <v>25722.123464190536</v>
      </c>
      <c r="AF3" s="5">
        <f>AE3*1.1</f>
        <v>28294.335810609591</v>
      </c>
      <c r="AG3" s="5">
        <f t="shared" ref="AG3:AH3" si="4">AF3*1.1</f>
        <v>31123.769391670554</v>
      </c>
      <c r="AH3" s="5">
        <f t="shared" si="4"/>
        <v>34236.146330837611</v>
      </c>
      <c r="AI3" s="5">
        <f>AH3*1.07</f>
        <v>36632.676573996243</v>
      </c>
      <c r="AJ3" s="5">
        <f t="shared" ref="AJ3:AM3" si="5">AI3*1.07</f>
        <v>39196.963934175983</v>
      </c>
      <c r="AK3" s="5">
        <f t="shared" si="5"/>
        <v>41940.751409568307</v>
      </c>
      <c r="AL3" s="5">
        <f t="shared" si="5"/>
        <v>44876.604008238093</v>
      </c>
      <c r="AM3" s="5">
        <f t="shared" si="5"/>
        <v>48017.966288814765</v>
      </c>
      <c r="AN3" s="5"/>
      <c r="AO3" s="5"/>
      <c r="AP3" s="5"/>
      <c r="AQ3" s="5"/>
      <c r="AR3" s="5"/>
      <c r="AS3" s="5"/>
      <c r="AT3" s="5"/>
      <c r="AU3" s="5"/>
      <c r="AV3" s="5"/>
    </row>
    <row r="4" spans="1:48" x14ac:dyDescent="0.2">
      <c r="B4" t="s">
        <v>23</v>
      </c>
      <c r="C4" s="1">
        <v>736.952</v>
      </c>
      <c r="D4" s="1">
        <v>760.67399999999998</v>
      </c>
      <c r="E4" s="1">
        <v>798.9</v>
      </c>
      <c r="F4" s="1">
        <v>820.67700000000002</v>
      </c>
      <c r="G4" s="1">
        <v>869.18600000000004</v>
      </c>
      <c r="H4" s="1">
        <v>914.84799999999996</v>
      </c>
      <c r="I4" s="1">
        <v>954.39400000000001</v>
      </c>
      <c r="J4" s="1">
        <v>1014.332</v>
      </c>
      <c r="K4" s="1">
        <v>1046.4010000000001</v>
      </c>
      <c r="L4" s="9">
        <v>1121.752</v>
      </c>
      <c r="M4" s="1">
        <v>1173.9580000000001</v>
      </c>
      <c r="N4" s="1">
        <v>1249.365</v>
      </c>
      <c r="O4" s="1">
        <f>O3-O5</f>
        <v>1296.4156088999998</v>
      </c>
      <c r="P4" s="1">
        <f t="shared" ref="P4:R4" si="6">P3-P5</f>
        <v>1335.1625892</v>
      </c>
      <c r="Q4" s="1">
        <f t="shared" si="6"/>
        <v>1411.1965889999999</v>
      </c>
      <c r="R4" s="1">
        <f t="shared" si="6"/>
        <v>1480.1817294000002</v>
      </c>
      <c r="S4" s="1">
        <v>1357.355</v>
      </c>
      <c r="T4" s="1">
        <v>2039.9010000000001</v>
      </c>
      <c r="U4" s="1">
        <v>2625.866</v>
      </c>
      <c r="V4" s="1">
        <v>3117.203</v>
      </c>
      <c r="W4" s="1">
        <v>3752.76</v>
      </c>
      <c r="X4" s="1">
        <v>4591.4759999999997</v>
      </c>
      <c r="Y4" s="1">
        <f t="shared" si="2"/>
        <v>5522.9565165000004</v>
      </c>
      <c r="Z4" s="1">
        <f>Z3-Z5</f>
        <v>6612.6672342900001</v>
      </c>
      <c r="AA4" s="1">
        <f t="shared" ref="AA4:AE4" si="7">AA3-AA5</f>
        <v>8067.4540258338002</v>
      </c>
      <c r="AB4" s="1">
        <f t="shared" si="7"/>
        <v>9842.2939115172376</v>
      </c>
      <c r="AC4" s="1">
        <f t="shared" si="7"/>
        <v>12007.598572051029</v>
      </c>
      <c r="AD4" s="1">
        <f t="shared" si="7"/>
        <v>13732.998120711898</v>
      </c>
      <c r="AE4" s="1">
        <f t="shared" si="7"/>
        <v>16204.937782440038</v>
      </c>
      <c r="AF4" s="1">
        <f t="shared" ref="AF4" si="8">AF3-AF5</f>
        <v>17825.431560684043</v>
      </c>
      <c r="AG4" s="1">
        <f t="shared" ref="AG4" si="9">AG3-AG5</f>
        <v>19607.974716752447</v>
      </c>
      <c r="AH4" s="1">
        <f t="shared" ref="AH4" si="10">AH3-AH5</f>
        <v>21568.772188427698</v>
      </c>
      <c r="AI4" s="1">
        <f t="shared" ref="AI4" si="11">AI3-AI5</f>
        <v>23078.586241617631</v>
      </c>
      <c r="AJ4" s="1">
        <f t="shared" ref="AJ4" si="12">AJ3-AJ5</f>
        <v>24694.087278530867</v>
      </c>
      <c r="AK4" s="1">
        <f t="shared" ref="AK4" si="13">AK3-AK5</f>
        <v>26422.673388028034</v>
      </c>
      <c r="AL4" s="1">
        <f t="shared" ref="AL4" si="14">AL3-AL5</f>
        <v>28272.260525189999</v>
      </c>
      <c r="AM4" s="1">
        <f t="shared" ref="AM4" si="15">AM3-AM5</f>
        <v>30251.318761953302</v>
      </c>
      <c r="AN4" s="1"/>
      <c r="AO4" s="1"/>
      <c r="AP4" s="1"/>
      <c r="AQ4" s="1"/>
      <c r="AR4" s="1"/>
      <c r="AS4" s="1"/>
      <c r="AT4" s="1"/>
      <c r="AU4" s="1"/>
      <c r="AV4" s="1"/>
    </row>
    <row r="5" spans="1:48" x14ac:dyDescent="0.2">
      <c r="B5" t="s">
        <v>35</v>
      </c>
      <c r="C5" s="1">
        <f t="shared" ref="C5:N5" si="16">C3-C4</f>
        <v>287.00900000000001</v>
      </c>
      <c r="D5" s="1">
        <f t="shared" si="16"/>
        <v>308.69800000000009</v>
      </c>
      <c r="E5" s="1">
        <f t="shared" si="16"/>
        <v>307.09900000000005</v>
      </c>
      <c r="F5" s="1">
        <f t="shared" si="16"/>
        <v>354.553</v>
      </c>
      <c r="G5" s="1">
        <f t="shared" si="16"/>
        <v>400.90299999999991</v>
      </c>
      <c r="H5" s="1">
        <f t="shared" si="16"/>
        <v>425.55899999999997</v>
      </c>
      <c r="I5" s="1">
        <f t="shared" si="16"/>
        <v>455.03800000000001</v>
      </c>
      <c r="J5" s="1">
        <f t="shared" si="16"/>
        <v>470.39600000000007</v>
      </c>
      <c r="K5" s="1">
        <f t="shared" si="16"/>
        <v>526.72799999999984</v>
      </c>
      <c r="L5" s="1">
        <f t="shared" si="16"/>
        <v>522.94200000000001</v>
      </c>
      <c r="M5" s="1">
        <f t="shared" si="16"/>
        <v>564.39699999999993</v>
      </c>
      <c r="N5" s="1">
        <f t="shared" si="16"/>
        <v>573.96800000000007</v>
      </c>
      <c r="O5" s="1">
        <f>O3*0.33</f>
        <v>638.53306109999994</v>
      </c>
      <c r="P5" s="1">
        <f>P3*0.34</f>
        <v>687.81103080000003</v>
      </c>
      <c r="Q5" s="1">
        <f t="shared" ref="Q5:R5" si="17">Q3*0.34</f>
        <v>726.98006099999998</v>
      </c>
      <c r="R5" s="1">
        <f t="shared" si="17"/>
        <v>762.51786060000006</v>
      </c>
      <c r="S5" s="1">
        <f t="shared" ref="S5:X5" si="18">S3-S4</f>
        <v>805.27</v>
      </c>
      <c r="T5" s="1">
        <f t="shared" si="18"/>
        <v>1164.6760000000002</v>
      </c>
      <c r="U5" s="1">
        <f t="shared" si="18"/>
        <v>983.41600000000017</v>
      </c>
      <c r="V5" s="1">
        <f t="shared" si="18"/>
        <v>1257.3589999999999</v>
      </c>
      <c r="W5" s="1">
        <f t="shared" si="18"/>
        <v>1751.8959999999997</v>
      </c>
      <c r="X5" s="1">
        <f t="shared" si="18"/>
        <v>2188.0350000000008</v>
      </c>
      <c r="Y5" s="1">
        <f t="shared" si="2"/>
        <v>2815.8420134999997</v>
      </c>
      <c r="Z5" s="1">
        <f>Z3*0.35</f>
        <v>3560.6669723099999</v>
      </c>
      <c r="AA5" s="1">
        <f>AA3*0.35</f>
        <v>4344.0137062182002</v>
      </c>
      <c r="AB5" s="1">
        <f>AB3*0.35</f>
        <v>5299.6967215862032</v>
      </c>
      <c r="AC5" s="1">
        <f>AC3*0.35</f>
        <v>6465.6300003351689</v>
      </c>
      <c r="AD5" s="1">
        <f>AD3*0.37</f>
        <v>8065.4115947038126</v>
      </c>
      <c r="AE5" s="1">
        <f>AE3*0.37</f>
        <v>9517.1856817504977</v>
      </c>
      <c r="AF5" s="1">
        <f t="shared" ref="AF5:AH5" si="19">AF3*0.37</f>
        <v>10468.904249925548</v>
      </c>
      <c r="AG5" s="1">
        <f t="shared" si="19"/>
        <v>11515.794674918105</v>
      </c>
      <c r="AH5" s="1">
        <f t="shared" si="19"/>
        <v>12667.374142409915</v>
      </c>
      <c r="AI5" s="1">
        <f t="shared" ref="AI5:AM5" si="20">AI3*0.37</f>
        <v>13554.09033237861</v>
      </c>
      <c r="AJ5" s="1">
        <f t="shared" si="20"/>
        <v>14502.876655645114</v>
      </c>
      <c r="AK5" s="1">
        <f t="shared" si="20"/>
        <v>15518.078021540274</v>
      </c>
      <c r="AL5" s="1">
        <f t="shared" si="20"/>
        <v>16604.343483048095</v>
      </c>
      <c r="AM5" s="1">
        <f t="shared" si="20"/>
        <v>17766.647526861463</v>
      </c>
      <c r="AN5" s="1"/>
      <c r="AO5" s="1"/>
      <c r="AP5" s="1"/>
      <c r="AQ5" s="1"/>
      <c r="AR5" s="1"/>
      <c r="AS5" s="1"/>
      <c r="AT5" s="1"/>
      <c r="AU5" s="1"/>
      <c r="AV5" s="1"/>
    </row>
    <row r="6" spans="1:48" x14ac:dyDescent="0.2">
      <c r="B6" t="s">
        <v>24</v>
      </c>
      <c r="C6" s="9">
        <v>119.086</v>
      </c>
      <c r="D6" s="9">
        <v>114.611</v>
      </c>
      <c r="E6" s="9">
        <v>108.22799999999999</v>
      </c>
      <c r="F6" s="1">
        <v>128.017</v>
      </c>
      <c r="G6" s="1">
        <v>137.09800000000001</v>
      </c>
      <c r="H6" s="1">
        <v>120.76300000000001</v>
      </c>
      <c r="I6" s="1">
        <v>145.654</v>
      </c>
      <c r="J6" s="1">
        <v>203.67099999999999</v>
      </c>
      <c r="K6" s="9">
        <v>194.67699999999999</v>
      </c>
      <c r="L6" s="9">
        <v>197.14</v>
      </c>
      <c r="M6" s="1">
        <v>208.102</v>
      </c>
      <c r="N6" s="1">
        <v>224.173</v>
      </c>
      <c r="O6" s="1">
        <v>224.173</v>
      </c>
      <c r="P6" s="1">
        <f>O6*0.99</f>
        <v>221.93127000000001</v>
      </c>
      <c r="Q6" s="1">
        <f t="shared" ref="Q6:R6" si="21">P6*0.99</f>
        <v>219.71195730000002</v>
      </c>
      <c r="R6" s="1">
        <f t="shared" si="21"/>
        <v>217.51483772700001</v>
      </c>
      <c r="S6" s="1">
        <v>293.839</v>
      </c>
      <c r="T6" s="1">
        <v>402.63799999999998</v>
      </c>
      <c r="U6" s="1">
        <v>484.72899999999998</v>
      </c>
      <c r="V6" s="1">
        <v>469.94200000000001</v>
      </c>
      <c r="W6" s="1">
        <v>607.18600000000004</v>
      </c>
      <c r="X6" s="1">
        <v>824.09199999999998</v>
      </c>
      <c r="Y6" s="12">
        <f t="shared" si="2"/>
        <v>883.33106502700002</v>
      </c>
      <c r="Z6" s="1">
        <f>Y6*1.12</f>
        <v>989.33079283024017</v>
      </c>
      <c r="AA6" s="1">
        <f t="shared" ref="AA6:AC6" si="22">Z6*1.12</f>
        <v>1108.0504879698692</v>
      </c>
      <c r="AB6" s="1">
        <f t="shared" si="22"/>
        <v>1241.0165465262537</v>
      </c>
      <c r="AC6" s="1">
        <f t="shared" si="22"/>
        <v>1389.9385321094044</v>
      </c>
      <c r="AD6" s="1">
        <f>AC6*1.1</f>
        <v>1528.932385320345</v>
      </c>
      <c r="AE6" s="1">
        <f>AD6*1.1</f>
        <v>1681.8256238523797</v>
      </c>
      <c r="AF6" s="1">
        <f t="shared" ref="AF6:AH6" si="23">AE6*1.1</f>
        <v>1850.0081862376178</v>
      </c>
      <c r="AG6" s="1">
        <f t="shared" si="23"/>
        <v>2035.0090048613797</v>
      </c>
      <c r="AH6" s="1">
        <f t="shared" si="23"/>
        <v>2238.5099053475178</v>
      </c>
      <c r="AI6" s="1">
        <f t="shared" ref="AI6:AM6" si="24">AH6*1.1</f>
        <v>2462.3608958822697</v>
      </c>
      <c r="AJ6" s="1">
        <f t="shared" si="24"/>
        <v>2708.5969854704967</v>
      </c>
      <c r="AK6" s="1">
        <f t="shared" si="24"/>
        <v>2979.4566840175466</v>
      </c>
      <c r="AL6" s="1">
        <f t="shared" si="24"/>
        <v>3277.4023524193017</v>
      </c>
      <c r="AM6" s="1">
        <f t="shared" si="24"/>
        <v>3605.142587661232</v>
      </c>
      <c r="AN6" s="1"/>
      <c r="AO6" s="1"/>
      <c r="AP6" s="1"/>
      <c r="AQ6" s="1"/>
      <c r="AR6" s="1"/>
      <c r="AS6" s="1"/>
      <c r="AT6" s="1"/>
      <c r="AU6" s="1"/>
      <c r="AV6" s="1"/>
    </row>
    <row r="7" spans="1:48" x14ac:dyDescent="0.2">
      <c r="B7" t="s">
        <v>25</v>
      </c>
      <c r="C7" s="9">
        <v>91.974999999999994</v>
      </c>
      <c r="D7" s="9">
        <v>93.126000000000005</v>
      </c>
      <c r="E7" s="9">
        <v>95.54</v>
      </c>
      <c r="F7" s="1">
        <v>98.128</v>
      </c>
      <c r="G7" s="1">
        <v>110.31</v>
      </c>
      <c r="H7" s="1">
        <v>115.182</v>
      </c>
      <c r="I7" s="1">
        <v>120.953</v>
      </c>
      <c r="J7" s="1">
        <v>125.876</v>
      </c>
      <c r="K7" s="9">
        <v>143.10599999999999</v>
      </c>
      <c r="L7" s="9">
        <v>155.06100000000001</v>
      </c>
      <c r="M7" s="1">
        <v>171.762</v>
      </c>
      <c r="N7" s="1">
        <v>180.85900000000001</v>
      </c>
      <c r="O7" s="1">
        <f>N7*1.03</f>
        <v>186.28477000000001</v>
      </c>
      <c r="P7" s="1">
        <f t="shared" ref="P7:R7" si="25">O7*1.03</f>
        <v>191.87331310000002</v>
      </c>
      <c r="Q7" s="1">
        <f t="shared" si="25"/>
        <v>197.62951249300002</v>
      </c>
      <c r="R7" s="1">
        <f t="shared" si="25"/>
        <v>203.55839786779003</v>
      </c>
      <c r="S7" s="1">
        <v>163.32900000000001</v>
      </c>
      <c r="T7" s="1">
        <v>259.03300000000002</v>
      </c>
      <c r="U7" s="1">
        <v>329.00799999999998</v>
      </c>
      <c r="V7" s="1">
        <v>378.76900000000001</v>
      </c>
      <c r="W7" s="1">
        <v>472.32100000000003</v>
      </c>
      <c r="X7" s="1">
        <v>650.78800000000001</v>
      </c>
      <c r="Y7" s="12">
        <f t="shared" si="2"/>
        <v>779.34599346079005</v>
      </c>
      <c r="Z7" s="1">
        <f t="shared" ref="Z7:AC8" si="26">Y7*1.12</f>
        <v>872.86751267608497</v>
      </c>
      <c r="AA7" s="1">
        <f t="shared" si="26"/>
        <v>977.6116141972152</v>
      </c>
      <c r="AB7" s="1">
        <f t="shared" si="26"/>
        <v>1094.9250079008812</v>
      </c>
      <c r="AC7" s="1">
        <f t="shared" si="26"/>
        <v>1226.3160088489869</v>
      </c>
      <c r="AD7" s="1">
        <f t="shared" ref="AD7:AE8" si="27">AC7*1.1</f>
        <v>1348.9476097338857</v>
      </c>
      <c r="AE7" s="1">
        <f t="shared" si="27"/>
        <v>1483.8423707072743</v>
      </c>
      <c r="AF7" s="1">
        <f t="shared" ref="AF7:AH7" si="28">AE7*1.1</f>
        <v>1632.2266077780018</v>
      </c>
      <c r="AG7" s="1">
        <f t="shared" si="28"/>
        <v>1795.4492685558021</v>
      </c>
      <c r="AH7" s="1">
        <f t="shared" si="28"/>
        <v>1974.9941954113824</v>
      </c>
      <c r="AI7" s="1">
        <f t="shared" ref="AI7:AM7" si="29">AH7*1.1</f>
        <v>2172.4936149525206</v>
      </c>
      <c r="AJ7" s="1">
        <f t="shared" si="29"/>
        <v>2389.7429764477729</v>
      </c>
      <c r="AK7" s="1">
        <f t="shared" si="29"/>
        <v>2628.7172740925503</v>
      </c>
      <c r="AL7" s="1">
        <f t="shared" si="29"/>
        <v>2891.5890015018053</v>
      </c>
      <c r="AM7" s="1">
        <f t="shared" si="29"/>
        <v>3180.747901651986</v>
      </c>
      <c r="AN7" s="1"/>
      <c r="AO7" s="1"/>
      <c r="AP7" s="1"/>
      <c r="AQ7" s="1"/>
      <c r="AR7" s="1"/>
      <c r="AS7" s="1"/>
      <c r="AT7" s="1"/>
      <c r="AU7" s="1"/>
      <c r="AV7" s="1"/>
    </row>
    <row r="8" spans="1:48" x14ac:dyDescent="0.2">
      <c r="B8" t="s">
        <v>26</v>
      </c>
      <c r="C8" s="9">
        <v>44.125999999999998</v>
      </c>
      <c r="D8" s="9">
        <v>43.844000000000001</v>
      </c>
      <c r="E8" s="9">
        <v>46.210999999999999</v>
      </c>
      <c r="F8" s="1">
        <v>46.12</v>
      </c>
      <c r="G8" s="1">
        <v>55.9</v>
      </c>
      <c r="H8" s="1">
        <v>60.014000000000003</v>
      </c>
      <c r="I8" s="1">
        <v>78.024000000000001</v>
      </c>
      <c r="J8" s="1">
        <v>75.802999999999997</v>
      </c>
      <c r="K8" s="9">
        <v>91.489000000000004</v>
      </c>
      <c r="L8" s="9">
        <v>95.906000000000006</v>
      </c>
      <c r="M8" s="1">
        <v>110.892</v>
      </c>
      <c r="N8" s="1">
        <v>109.042</v>
      </c>
      <c r="O8" s="1">
        <v>109.042</v>
      </c>
      <c r="P8" s="1">
        <v>109.042</v>
      </c>
      <c r="Q8" s="1">
        <v>109.042</v>
      </c>
      <c r="R8" s="1">
        <v>109.042</v>
      </c>
      <c r="S8" s="1">
        <v>64.460999999999999</v>
      </c>
      <c r="T8" s="1">
        <v>126.937</v>
      </c>
      <c r="U8" s="1">
        <v>119.687</v>
      </c>
      <c r="V8" s="1">
        <v>180.30099999999999</v>
      </c>
      <c r="W8" s="1">
        <v>269.74099999999999</v>
      </c>
      <c r="X8" s="1">
        <v>407.32900000000001</v>
      </c>
      <c r="Y8" s="12">
        <f t="shared" si="2"/>
        <v>436.16800000000001</v>
      </c>
      <c r="Z8" s="1">
        <f t="shared" si="26"/>
        <v>488.50816000000003</v>
      </c>
      <c r="AA8" s="1">
        <f t="shared" si="26"/>
        <v>547.12913920000005</v>
      </c>
      <c r="AB8" s="1">
        <f t="shared" si="26"/>
        <v>612.78463590400008</v>
      </c>
      <c r="AC8" s="1">
        <f t="shared" si="26"/>
        <v>686.31879221248016</v>
      </c>
      <c r="AD8" s="1">
        <f t="shared" si="27"/>
        <v>754.95067143372819</v>
      </c>
      <c r="AE8" s="1">
        <f t="shared" si="27"/>
        <v>830.44573857710111</v>
      </c>
      <c r="AF8" s="1">
        <f t="shared" ref="AF8:AH8" si="30">AE8*1.1</f>
        <v>913.49031243481124</v>
      </c>
      <c r="AG8" s="1">
        <f t="shared" si="30"/>
        <v>1004.8393436782925</v>
      </c>
      <c r="AH8" s="1">
        <f t="shared" si="30"/>
        <v>1105.3232780461219</v>
      </c>
      <c r="AI8" s="1">
        <f t="shared" ref="AI8:AM8" si="31">AH8*1.1</f>
        <v>1215.8556058507343</v>
      </c>
      <c r="AJ8" s="1">
        <f t="shared" si="31"/>
        <v>1337.4411664358079</v>
      </c>
      <c r="AK8" s="1">
        <f t="shared" si="31"/>
        <v>1471.1852830793887</v>
      </c>
      <c r="AL8" s="1">
        <f t="shared" si="31"/>
        <v>1618.3038113873276</v>
      </c>
      <c r="AM8" s="1">
        <f t="shared" si="31"/>
        <v>1780.1341925260606</v>
      </c>
      <c r="AN8" s="1"/>
      <c r="AO8" s="1"/>
      <c r="AP8" s="1"/>
      <c r="AQ8" s="1"/>
      <c r="AR8" s="1"/>
      <c r="AS8" s="1"/>
      <c r="AT8" s="1"/>
      <c r="AU8" s="1"/>
      <c r="AV8" s="1"/>
    </row>
    <row r="9" spans="1:48" x14ac:dyDescent="0.2">
      <c r="B9" t="s">
        <v>27</v>
      </c>
      <c r="C9" s="1">
        <f t="shared" ref="C9:R9" si="32">SUM(C6:C8)</f>
        <v>255.18699999999998</v>
      </c>
      <c r="D9" s="1">
        <f t="shared" si="32"/>
        <v>251.58100000000002</v>
      </c>
      <c r="E9" s="1">
        <f t="shared" si="32"/>
        <v>249.97899999999998</v>
      </c>
      <c r="F9" s="1">
        <f t="shared" si="32"/>
        <v>272.26499999999999</v>
      </c>
      <c r="G9" s="1">
        <f t="shared" si="32"/>
        <v>303.30799999999999</v>
      </c>
      <c r="H9" s="1">
        <f t="shared" si="32"/>
        <v>295.959</v>
      </c>
      <c r="I9" s="1">
        <f t="shared" si="32"/>
        <v>344.63099999999997</v>
      </c>
      <c r="J9" s="1">
        <f t="shared" si="32"/>
        <v>405.35</v>
      </c>
      <c r="K9" s="1">
        <f t="shared" si="32"/>
        <v>429.27200000000005</v>
      </c>
      <c r="L9" s="1">
        <f t="shared" si="32"/>
        <v>448.10700000000003</v>
      </c>
      <c r="M9" s="1">
        <f t="shared" si="32"/>
        <v>490.75600000000003</v>
      </c>
      <c r="N9" s="1">
        <f t="shared" si="32"/>
        <v>514.07400000000007</v>
      </c>
      <c r="O9" s="1">
        <f t="shared" si="32"/>
        <v>519.49977000000001</v>
      </c>
      <c r="P9" s="1">
        <f t="shared" si="32"/>
        <v>522.84658310000009</v>
      </c>
      <c r="Q9" s="1">
        <f t="shared" si="32"/>
        <v>526.38346979300002</v>
      </c>
      <c r="R9" s="1">
        <f t="shared" si="32"/>
        <v>530.11523559479008</v>
      </c>
      <c r="S9" s="1">
        <f t="shared" ref="S9:X9" si="33">SUM(S6:S8)</f>
        <v>521.62900000000002</v>
      </c>
      <c r="T9" s="1">
        <f t="shared" si="33"/>
        <v>788.60800000000006</v>
      </c>
      <c r="U9" s="1">
        <f t="shared" si="33"/>
        <v>933.42399999999998</v>
      </c>
      <c r="V9" s="1">
        <f t="shared" si="33"/>
        <v>1029.0119999999999</v>
      </c>
      <c r="W9" s="1">
        <f t="shared" si="33"/>
        <v>1349.248</v>
      </c>
      <c r="X9" s="1">
        <f t="shared" si="33"/>
        <v>1882.2090000000001</v>
      </c>
      <c r="Y9" s="1">
        <f>SUM(Y6:Y8)</f>
        <v>2098.8450584877901</v>
      </c>
      <c r="Z9" s="1">
        <f>SUM(Z6:Z8)</f>
        <v>2350.706465506325</v>
      </c>
      <c r="AA9" s="1">
        <f t="shared" ref="AA9:AE9" si="34">SUM(AA6:AA8)</f>
        <v>2632.7912413670847</v>
      </c>
      <c r="AB9" s="1">
        <f t="shared" si="34"/>
        <v>2948.7261903311351</v>
      </c>
      <c r="AC9" s="1">
        <f t="shared" si="34"/>
        <v>3302.5733331708716</v>
      </c>
      <c r="AD9" s="1">
        <f t="shared" si="34"/>
        <v>3632.8306664879588</v>
      </c>
      <c r="AE9" s="1">
        <f t="shared" si="34"/>
        <v>3996.1137331367554</v>
      </c>
      <c r="AF9" s="1">
        <f t="shared" ref="AF9" si="35">SUM(AF6:AF8)</f>
        <v>4395.7251064504308</v>
      </c>
      <c r="AG9" s="1">
        <f t="shared" ref="AG9" si="36">SUM(AG6:AG8)</f>
        <v>4835.2976170954744</v>
      </c>
      <c r="AH9" s="1">
        <f t="shared" ref="AH9" si="37">SUM(AH6:AH8)</f>
        <v>5318.8273788050228</v>
      </c>
      <c r="AI9" s="1">
        <f t="shared" ref="AI9" si="38">SUM(AI6:AI8)</f>
        <v>5850.7101166855246</v>
      </c>
      <c r="AJ9" s="1">
        <f t="shared" ref="AJ9" si="39">SUM(AJ6:AJ8)</f>
        <v>6435.7811283540768</v>
      </c>
      <c r="AK9" s="1">
        <f t="shared" ref="AK9" si="40">SUM(AK6:AK8)</f>
        <v>7079.3592411894861</v>
      </c>
      <c r="AL9" s="1">
        <f t="shared" ref="AL9" si="41">SUM(AL6:AL8)</f>
        <v>7787.2951653084347</v>
      </c>
      <c r="AM9" s="1">
        <f t="shared" ref="AM9" si="42">SUM(AM6:AM8)</f>
        <v>8566.0246818392789</v>
      </c>
      <c r="AN9" s="1"/>
      <c r="AO9" s="1"/>
      <c r="AP9" s="1"/>
      <c r="AQ9" s="1"/>
      <c r="AR9" s="1"/>
      <c r="AS9" s="1"/>
      <c r="AT9" s="1"/>
      <c r="AU9" s="1"/>
      <c r="AV9" s="1"/>
    </row>
    <row r="10" spans="1:48" x14ac:dyDescent="0.2">
      <c r="B10" t="s">
        <v>28</v>
      </c>
      <c r="C10" s="1">
        <f t="shared" ref="C10:N10" si="43">C5-C9</f>
        <v>31.822000000000031</v>
      </c>
      <c r="D10" s="1">
        <f t="shared" si="43"/>
        <v>57.117000000000075</v>
      </c>
      <c r="E10" s="1">
        <f t="shared" si="43"/>
        <v>57.120000000000061</v>
      </c>
      <c r="F10" s="1">
        <f t="shared" si="43"/>
        <v>82.288000000000011</v>
      </c>
      <c r="G10" s="1">
        <f t="shared" si="43"/>
        <v>97.594999999999914</v>
      </c>
      <c r="H10" s="1">
        <f t="shared" si="43"/>
        <v>129.59999999999997</v>
      </c>
      <c r="I10" s="1">
        <f t="shared" si="43"/>
        <v>110.40700000000004</v>
      </c>
      <c r="J10" s="1">
        <f t="shared" si="43"/>
        <v>65.046000000000049</v>
      </c>
      <c r="K10" s="1">
        <f t="shared" si="43"/>
        <v>97.45599999999979</v>
      </c>
      <c r="L10" s="1">
        <f t="shared" si="43"/>
        <v>74.83499999999998</v>
      </c>
      <c r="M10" s="1">
        <f t="shared" si="43"/>
        <v>73.640999999999906</v>
      </c>
      <c r="N10" s="1">
        <f t="shared" si="43"/>
        <v>59.894000000000005</v>
      </c>
      <c r="O10" s="1">
        <f t="shared" ref="O10:R10" si="44">O5-O9</f>
        <v>119.03329109999993</v>
      </c>
      <c r="P10" s="1">
        <f t="shared" si="44"/>
        <v>164.96444769999994</v>
      </c>
      <c r="Q10" s="1">
        <f t="shared" si="44"/>
        <v>200.59659120699996</v>
      </c>
      <c r="R10" s="1">
        <f t="shared" si="44"/>
        <v>232.40262500520998</v>
      </c>
      <c r="S10" s="1">
        <f t="shared" ref="S10:Z10" si="45">S5-S9</f>
        <v>283.64099999999996</v>
      </c>
      <c r="T10" s="1">
        <f t="shared" si="45"/>
        <v>376.0680000000001</v>
      </c>
      <c r="U10" s="1">
        <f t="shared" si="45"/>
        <v>49.992000000000189</v>
      </c>
      <c r="V10" s="1">
        <f t="shared" si="45"/>
        <v>228.34699999999998</v>
      </c>
      <c r="W10" s="1">
        <f t="shared" si="45"/>
        <v>402.64799999999968</v>
      </c>
      <c r="X10" s="1">
        <f t="shared" si="45"/>
        <v>305.8260000000007</v>
      </c>
      <c r="Y10" s="1">
        <f t="shared" si="45"/>
        <v>716.99695501220958</v>
      </c>
      <c r="Z10" s="1">
        <f t="shared" si="45"/>
        <v>1209.9605068036749</v>
      </c>
      <c r="AA10" s="1">
        <f t="shared" ref="AA10:AD10" si="46">AA5-AA9</f>
        <v>1711.2224648511155</v>
      </c>
      <c r="AB10" s="1">
        <f t="shared" si="46"/>
        <v>2350.9705312550682</v>
      </c>
      <c r="AC10" s="1">
        <f t="shared" si="46"/>
        <v>3163.0566671642973</v>
      </c>
      <c r="AD10" s="1">
        <f t="shared" si="46"/>
        <v>4432.5809282158534</v>
      </c>
      <c r="AE10" s="1">
        <f t="shared" ref="AE10:AH10" si="47">AE5-AE9</f>
        <v>5521.0719486137423</v>
      </c>
      <c r="AF10" s="1">
        <f t="shared" si="47"/>
        <v>6073.1791434751176</v>
      </c>
      <c r="AG10" s="1">
        <f t="shared" si="47"/>
        <v>6680.4970578226303</v>
      </c>
      <c r="AH10" s="1">
        <f t="shared" si="47"/>
        <v>7348.5467636048925</v>
      </c>
      <c r="AI10" s="1">
        <f t="shared" ref="AI10:AM10" si="48">AI5-AI9</f>
        <v>7703.3802156930851</v>
      </c>
      <c r="AJ10" s="1">
        <f t="shared" si="48"/>
        <v>8067.0955272910369</v>
      </c>
      <c r="AK10" s="1">
        <f t="shared" si="48"/>
        <v>8438.7187803507877</v>
      </c>
      <c r="AL10" s="1">
        <f t="shared" si="48"/>
        <v>8817.04831773966</v>
      </c>
      <c r="AM10" s="1">
        <f t="shared" si="48"/>
        <v>9200.6228450221843</v>
      </c>
      <c r="AN10" s="1"/>
      <c r="AO10" s="1"/>
      <c r="AP10" s="1"/>
      <c r="AQ10" s="1"/>
      <c r="AR10" s="1"/>
      <c r="AS10" s="1"/>
      <c r="AT10" s="1"/>
      <c r="AU10" s="1"/>
      <c r="AV10" s="1"/>
    </row>
    <row r="11" spans="1:48" x14ac:dyDescent="0.2">
      <c r="B11" t="s">
        <v>29</v>
      </c>
      <c r="C11" s="9">
        <f>-6.74+0.977-25.129</f>
        <v>-30.892000000000003</v>
      </c>
      <c r="D11" s="9">
        <f>-7.528-2.94</f>
        <v>-10.468</v>
      </c>
      <c r="E11" s="9">
        <f>-7.436-0.193</f>
        <v>-7.6289999999999996</v>
      </c>
      <c r="F11" s="1">
        <f>-7.438-0.846</f>
        <v>-8.2839999999999989</v>
      </c>
      <c r="G11" s="1">
        <f>-10.052+1.401</f>
        <v>-8.6509999999999998</v>
      </c>
      <c r="H11" s="1">
        <f>-13.328+1.1</f>
        <v>-12.228</v>
      </c>
      <c r="I11" s="1">
        <f>-13.486+0.616</f>
        <v>-12.870000000000001</v>
      </c>
      <c r="J11" s="1">
        <f>-13.353-6.177</f>
        <v>-19.53</v>
      </c>
      <c r="K11" s="1">
        <f>-26.737-32.293</f>
        <v>-59.03</v>
      </c>
      <c r="L11" s="1">
        <f>-35.217+0.872</f>
        <v>-34.344999999999999</v>
      </c>
      <c r="M11" s="1">
        <f>-35.333+3.93</f>
        <v>-31.402999999999999</v>
      </c>
      <c r="N11" s="1">
        <f>-35.429-3.734</f>
        <v>-39.163000000000004</v>
      </c>
      <c r="O11" s="1">
        <f>N11*0.97</f>
        <v>-37.988110000000006</v>
      </c>
      <c r="P11" s="1">
        <f t="shared" ref="P11:R11" si="49">O11*0.97</f>
        <v>-36.848466700000003</v>
      </c>
      <c r="Q11" s="1">
        <f t="shared" si="49"/>
        <v>-35.743012699000005</v>
      </c>
      <c r="R11" s="1">
        <f t="shared" si="49"/>
        <v>-34.670722318030002</v>
      </c>
      <c r="S11" s="1">
        <f>-19.629+3.684</f>
        <v>-15.945</v>
      </c>
      <c r="T11" s="1">
        <f>-20.025+3.479</f>
        <v>-16.545999999999999</v>
      </c>
      <c r="U11" s="1">
        <f>-19.986+0.474</f>
        <v>-19.512</v>
      </c>
      <c r="V11" s="1">
        <f>-29.142-3.002-25.129</f>
        <v>-57.272999999999996</v>
      </c>
      <c r="W11" s="1">
        <f>-50.219-3.06</f>
        <v>-53.279000000000003</v>
      </c>
      <c r="X11" s="1">
        <f>-132.716-31.225</f>
        <v>-163.941</v>
      </c>
      <c r="Y11" s="1">
        <f>SUM(O11:R11)</f>
        <v>-145.25031171703</v>
      </c>
      <c r="Z11" s="1">
        <f>Y11*0.95</f>
        <v>-137.9877961311785</v>
      </c>
      <c r="AA11" s="1">
        <f t="shared" ref="AA11:AC11" si="50">Z11*0.95</f>
        <v>-131.08840632461957</v>
      </c>
      <c r="AB11" s="1">
        <f t="shared" si="50"/>
        <v>-124.53398600838858</v>
      </c>
      <c r="AC11" s="1">
        <f t="shared" si="50"/>
        <v>-118.30728670796914</v>
      </c>
      <c r="AD11" s="1">
        <f>AC11*0.9</f>
        <v>-106.47655803717223</v>
      </c>
      <c r="AE11" s="1">
        <f>AD11*0.9</f>
        <v>-95.828902233455011</v>
      </c>
      <c r="AF11" s="1">
        <f t="shared" ref="AF11:AH11" si="51">AE11*0.9</f>
        <v>-86.24601201010951</v>
      </c>
      <c r="AG11" s="1">
        <f t="shared" si="51"/>
        <v>-77.621410809098563</v>
      </c>
      <c r="AH11" s="1">
        <f t="shared" si="51"/>
        <v>-69.859269728188707</v>
      </c>
      <c r="AI11" s="1">
        <f t="shared" ref="AI11:AM11" si="52">AH11*0.9</f>
        <v>-62.873342755369841</v>
      </c>
      <c r="AJ11" s="1">
        <f t="shared" si="52"/>
        <v>-56.586008479832856</v>
      </c>
      <c r="AK11" s="1">
        <f t="shared" si="52"/>
        <v>-50.927407631849569</v>
      </c>
      <c r="AL11" s="1">
        <f t="shared" si="52"/>
        <v>-45.834666868664613</v>
      </c>
      <c r="AM11" s="1">
        <f t="shared" si="52"/>
        <v>-41.251200181798154</v>
      </c>
      <c r="AN11" s="1"/>
      <c r="AO11" s="1"/>
      <c r="AP11" s="1"/>
      <c r="AQ11" s="1"/>
      <c r="AR11" s="1"/>
      <c r="AS11" s="1"/>
      <c r="AT11" s="1"/>
      <c r="AU11" s="1"/>
      <c r="AV11" s="1"/>
    </row>
    <row r="12" spans="1:48" x14ac:dyDescent="0.2">
      <c r="B12" t="s">
        <v>30</v>
      </c>
      <c r="C12" s="1">
        <f t="shared" ref="C12:N12" si="53">C10+C11</f>
        <v>0.93000000000002814</v>
      </c>
      <c r="D12" s="1">
        <f t="shared" si="53"/>
        <v>46.649000000000072</v>
      </c>
      <c r="E12" s="1">
        <f t="shared" si="53"/>
        <v>49.491000000000064</v>
      </c>
      <c r="F12" s="1">
        <f t="shared" si="53"/>
        <v>74.004000000000019</v>
      </c>
      <c r="G12" s="1">
        <f t="shared" si="53"/>
        <v>88.943999999999917</v>
      </c>
      <c r="H12" s="1">
        <f t="shared" si="53"/>
        <v>117.37199999999997</v>
      </c>
      <c r="I12" s="1">
        <f t="shared" si="53"/>
        <v>97.537000000000035</v>
      </c>
      <c r="J12" s="1">
        <f t="shared" si="53"/>
        <v>45.516000000000048</v>
      </c>
      <c r="K12" s="1">
        <f t="shared" si="53"/>
        <v>38.425999999999789</v>
      </c>
      <c r="L12" s="1">
        <f t="shared" si="53"/>
        <v>40.489999999999981</v>
      </c>
      <c r="M12" s="1">
        <f t="shared" si="53"/>
        <v>42.237999999999907</v>
      </c>
      <c r="N12" s="1">
        <f t="shared" si="53"/>
        <v>20.731000000000002</v>
      </c>
      <c r="O12" s="1">
        <f t="shared" ref="O12:R12" si="54">O10+O11</f>
        <v>81.045181099999922</v>
      </c>
      <c r="P12" s="1">
        <f t="shared" si="54"/>
        <v>128.11598099999992</v>
      </c>
      <c r="Q12" s="1">
        <f t="shared" si="54"/>
        <v>164.85357850799994</v>
      </c>
      <c r="R12" s="1">
        <f t="shared" si="54"/>
        <v>197.73190268717997</v>
      </c>
      <c r="S12" s="1">
        <f t="shared" ref="S12:Z12" si="55">S10+S11</f>
        <v>267.69599999999997</v>
      </c>
      <c r="T12" s="1">
        <f t="shared" si="55"/>
        <v>359.52200000000011</v>
      </c>
      <c r="U12" s="1">
        <f t="shared" si="55"/>
        <v>30.480000000000189</v>
      </c>
      <c r="V12" s="1">
        <f t="shared" si="55"/>
        <v>171.07399999999998</v>
      </c>
      <c r="W12" s="1">
        <f t="shared" si="55"/>
        <v>349.36899999999969</v>
      </c>
      <c r="X12" s="1">
        <f t="shared" si="55"/>
        <v>141.8850000000007</v>
      </c>
      <c r="Y12" s="1">
        <f t="shared" si="55"/>
        <v>571.74664329517964</v>
      </c>
      <c r="Z12" s="1">
        <f t="shared" si="55"/>
        <v>1071.9727106724963</v>
      </c>
      <c r="AA12" s="1">
        <f t="shared" ref="AA12:AD12" si="56">AA10+AA11</f>
        <v>1580.1340585264959</v>
      </c>
      <c r="AB12" s="1">
        <f t="shared" si="56"/>
        <v>2226.4365452466795</v>
      </c>
      <c r="AC12" s="1">
        <f t="shared" si="56"/>
        <v>3044.7493804563283</v>
      </c>
      <c r="AD12" s="1">
        <f t="shared" si="56"/>
        <v>4326.1043701786812</v>
      </c>
      <c r="AE12" s="1">
        <f t="shared" ref="AE12:AH12" si="57">AE10+AE11</f>
        <v>5425.2430463802875</v>
      </c>
      <c r="AF12" s="1">
        <f t="shared" si="57"/>
        <v>5986.933131465008</v>
      </c>
      <c r="AG12" s="1">
        <f t="shared" si="57"/>
        <v>6602.8756470135313</v>
      </c>
      <c r="AH12" s="1">
        <f t="shared" si="57"/>
        <v>7278.6874938767041</v>
      </c>
      <c r="AI12" s="1">
        <f t="shared" ref="AI12:AM12" si="58">AI10+AI11</f>
        <v>7640.5068729377153</v>
      </c>
      <c r="AJ12" s="1">
        <f t="shared" si="58"/>
        <v>8010.5095188112036</v>
      </c>
      <c r="AK12" s="1">
        <f t="shared" si="58"/>
        <v>8387.7913727189389</v>
      </c>
      <c r="AL12" s="1">
        <f t="shared" si="58"/>
        <v>8771.2136508709955</v>
      </c>
      <c r="AM12" s="1">
        <f t="shared" si="58"/>
        <v>9159.3716448403866</v>
      </c>
      <c r="AN12" s="1"/>
      <c r="AO12" s="1"/>
      <c r="AP12" s="1"/>
      <c r="AQ12" s="1"/>
      <c r="AR12" s="1"/>
      <c r="AS12" s="1"/>
      <c r="AT12" s="1"/>
      <c r="AU12" s="1"/>
      <c r="AV12" s="1"/>
    </row>
    <row r="13" spans="1:48" x14ac:dyDescent="0.2">
      <c r="B13" t="s">
        <v>31</v>
      </c>
      <c r="C13" s="9">
        <v>-1.7589999999999999</v>
      </c>
      <c r="D13" s="9">
        <v>17.178000000000001</v>
      </c>
      <c r="E13" s="9">
        <v>17.669</v>
      </c>
      <c r="F13" s="1">
        <v>25.582999999999998</v>
      </c>
      <c r="G13" s="1">
        <v>35.829000000000001</v>
      </c>
      <c r="H13" s="1">
        <v>46.353999999999999</v>
      </c>
      <c r="I13" s="1">
        <v>38.241999999999997</v>
      </c>
      <c r="J13" s="1">
        <v>-37.854999999999997</v>
      </c>
      <c r="K13" s="1">
        <v>14.73</v>
      </c>
      <c r="L13" s="1">
        <v>14.154999999999999</v>
      </c>
      <c r="M13" s="1">
        <v>12.805999999999999</v>
      </c>
      <c r="N13" s="1">
        <v>-22.446999999999999</v>
      </c>
      <c r="O13" s="1">
        <f>O12*0.33</f>
        <v>26.744909762999974</v>
      </c>
      <c r="P13" s="1">
        <f t="shared" ref="P13:R13" si="59">P12*0.33</f>
        <v>42.278273729999974</v>
      </c>
      <c r="Q13" s="1">
        <f t="shared" si="59"/>
        <v>54.401680907639985</v>
      </c>
      <c r="R13" s="1">
        <f t="shared" si="59"/>
        <v>65.251527886769395</v>
      </c>
      <c r="S13" s="1">
        <v>106.843</v>
      </c>
      <c r="T13" s="1">
        <v>133.39599999999999</v>
      </c>
      <c r="U13" s="1">
        <v>13.327999999999999</v>
      </c>
      <c r="V13" s="1">
        <v>58.670999999999999</v>
      </c>
      <c r="W13" s="1">
        <v>82.57</v>
      </c>
      <c r="X13" s="1">
        <v>19.244</v>
      </c>
      <c r="Y13" s="1">
        <f>Y12*0.33</f>
        <v>188.6763922874093</v>
      </c>
      <c r="Z13" s="1">
        <f t="shared" ref="Z13:AE13" si="60">Z12*0.33</f>
        <v>353.75099452192381</v>
      </c>
      <c r="AA13" s="1">
        <f t="shared" si="60"/>
        <v>521.44423931374365</v>
      </c>
      <c r="AB13" s="1">
        <f t="shared" si="60"/>
        <v>734.72405993140433</v>
      </c>
      <c r="AC13" s="1">
        <f t="shared" si="60"/>
        <v>1004.7672955505884</v>
      </c>
      <c r="AD13" s="1">
        <f t="shared" si="60"/>
        <v>1427.6144421589649</v>
      </c>
      <c r="AE13" s="1">
        <f t="shared" si="60"/>
        <v>1790.3302053054949</v>
      </c>
      <c r="AF13" s="1">
        <f t="shared" ref="AF13" si="61">AF12*0.33</f>
        <v>1975.6879333834527</v>
      </c>
      <c r="AG13" s="1">
        <f t="shared" ref="AG13" si="62">AG12*0.33</f>
        <v>2178.9489635144655</v>
      </c>
      <c r="AH13" s="1">
        <f t="shared" ref="AH13" si="63">AH12*0.33</f>
        <v>2401.9668729793125</v>
      </c>
      <c r="AI13" s="1">
        <f t="shared" ref="AI13" si="64">AI12*0.33</f>
        <v>2521.3672680694463</v>
      </c>
      <c r="AJ13" s="1">
        <f t="shared" ref="AJ13" si="65">AJ12*0.33</f>
        <v>2643.4681412076975</v>
      </c>
      <c r="AK13" s="1">
        <f t="shared" ref="AK13" si="66">AK12*0.33</f>
        <v>2767.9711529972501</v>
      </c>
      <c r="AL13" s="1">
        <f t="shared" ref="AL13" si="67">AL12*0.33</f>
        <v>2894.5005047874288</v>
      </c>
      <c r="AM13" s="1">
        <f t="shared" ref="AM13" si="68">AM12*0.33</f>
        <v>3022.5926427973277</v>
      </c>
      <c r="AN13" s="1"/>
      <c r="AO13" s="1"/>
      <c r="AP13" s="1"/>
      <c r="AQ13" s="1"/>
      <c r="AR13" s="1"/>
      <c r="AS13" s="1"/>
      <c r="AT13" s="1"/>
      <c r="AU13" s="1"/>
      <c r="AV13" s="1"/>
    </row>
    <row r="14" spans="1:48" s="4" customFormat="1" x14ac:dyDescent="0.2">
      <c r="B14" s="4" t="s">
        <v>32</v>
      </c>
      <c r="C14" s="5">
        <f t="shared" ref="C14:N14" si="69">C12-C13</f>
        <v>2.689000000000028</v>
      </c>
      <c r="D14" s="5">
        <f t="shared" si="69"/>
        <v>29.471000000000071</v>
      </c>
      <c r="E14" s="5">
        <f t="shared" si="69"/>
        <v>31.822000000000063</v>
      </c>
      <c r="F14" s="5">
        <f t="shared" si="69"/>
        <v>48.421000000000021</v>
      </c>
      <c r="G14" s="5">
        <f t="shared" si="69"/>
        <v>53.114999999999917</v>
      </c>
      <c r="H14" s="5">
        <f t="shared" si="69"/>
        <v>71.017999999999972</v>
      </c>
      <c r="I14" s="5">
        <f t="shared" si="69"/>
        <v>59.295000000000037</v>
      </c>
      <c r="J14" s="5">
        <f t="shared" si="69"/>
        <v>83.371000000000038</v>
      </c>
      <c r="K14" s="5">
        <f t="shared" si="69"/>
        <v>23.695999999999788</v>
      </c>
      <c r="L14" s="5">
        <f t="shared" si="69"/>
        <v>26.33499999999998</v>
      </c>
      <c r="M14" s="5">
        <f t="shared" si="69"/>
        <v>29.43199999999991</v>
      </c>
      <c r="N14" s="5">
        <f t="shared" si="69"/>
        <v>43.177999999999997</v>
      </c>
      <c r="O14" s="5">
        <f t="shared" ref="O14:R14" si="70">O12-O13</f>
        <v>54.300271336999948</v>
      </c>
      <c r="P14" s="5">
        <f t="shared" si="70"/>
        <v>85.837707269999953</v>
      </c>
      <c r="Q14" s="5">
        <f t="shared" si="70"/>
        <v>110.45189760035996</v>
      </c>
      <c r="R14" s="5">
        <f t="shared" si="70"/>
        <v>132.48037480041057</v>
      </c>
      <c r="S14" s="5">
        <f t="shared" ref="S14:Z14" si="71">S12-S13</f>
        <v>160.85299999999995</v>
      </c>
      <c r="T14" s="5">
        <f t="shared" si="71"/>
        <v>226.12600000000012</v>
      </c>
      <c r="U14" s="5">
        <f t="shared" si="71"/>
        <v>17.152000000000189</v>
      </c>
      <c r="V14" s="5">
        <f t="shared" si="71"/>
        <v>112.40299999999999</v>
      </c>
      <c r="W14" s="5">
        <f t="shared" si="71"/>
        <v>266.79899999999969</v>
      </c>
      <c r="X14" s="5">
        <f t="shared" si="71"/>
        <v>122.6410000000007</v>
      </c>
      <c r="Y14" s="5">
        <f t="shared" si="71"/>
        <v>383.07025100777037</v>
      </c>
      <c r="Z14" s="5">
        <f t="shared" si="71"/>
        <v>718.22171615057255</v>
      </c>
      <c r="AA14" s="5">
        <f t="shared" ref="AA14:AC14" si="72">AA12-AA13</f>
        <v>1058.6898192127524</v>
      </c>
      <c r="AB14" s="5">
        <f t="shared" si="72"/>
        <v>1491.7124853152752</v>
      </c>
      <c r="AC14" s="5">
        <f t="shared" si="72"/>
        <v>2039.9820849057398</v>
      </c>
      <c r="AD14" s="5">
        <f t="shared" ref="AD14:AE14" si="73">AD12-AD13</f>
        <v>2898.489928019716</v>
      </c>
      <c r="AE14" s="5">
        <f t="shared" si="73"/>
        <v>3634.9128410747926</v>
      </c>
      <c r="AF14" s="5">
        <f t="shared" ref="AF14:AH14" si="74">AF12-AF13</f>
        <v>4011.2451980815554</v>
      </c>
      <c r="AG14" s="5">
        <f t="shared" si="74"/>
        <v>4423.9266834990658</v>
      </c>
      <c r="AH14" s="5">
        <f t="shared" si="74"/>
        <v>4876.7206208973912</v>
      </c>
      <c r="AI14" s="5">
        <f t="shared" ref="AI14:AM14" si="75">AI12-AI13</f>
        <v>5119.1396048682691</v>
      </c>
      <c r="AJ14" s="5">
        <f t="shared" si="75"/>
        <v>5367.0413776035057</v>
      </c>
      <c r="AK14" s="5">
        <f t="shared" si="75"/>
        <v>5619.8202197216888</v>
      </c>
      <c r="AL14" s="5">
        <f t="shared" si="75"/>
        <v>5876.7131460835662</v>
      </c>
      <c r="AM14" s="5">
        <f t="shared" si="75"/>
        <v>6136.7790020430584</v>
      </c>
      <c r="AN14" s="5"/>
      <c r="AO14" s="5"/>
      <c r="AP14" s="5"/>
      <c r="AQ14" s="5"/>
      <c r="AR14" s="5"/>
      <c r="AS14" s="5"/>
      <c r="AT14" s="5"/>
      <c r="AU14" s="5"/>
      <c r="AV14" s="5"/>
    </row>
    <row r="15" spans="1:48" x14ac:dyDescent="0.2">
      <c r="B15" t="s">
        <v>33</v>
      </c>
      <c r="C15" s="9">
        <v>60.146000000000001</v>
      </c>
      <c r="D15" s="9">
        <v>60.59</v>
      </c>
      <c r="E15" s="9">
        <v>60.99</v>
      </c>
      <c r="F15" s="1">
        <v>61.304000000000002</v>
      </c>
      <c r="G15" s="1">
        <v>431.44099999999997</v>
      </c>
      <c r="H15" s="1">
        <v>61.634</v>
      </c>
      <c r="I15" s="1">
        <v>61.82</v>
      </c>
      <c r="J15" s="1">
        <v>61.787999999999997</v>
      </c>
      <c r="K15" s="1">
        <v>61.972999999999999</v>
      </c>
      <c r="L15" s="1">
        <v>436.09699999999998</v>
      </c>
      <c r="M15" s="1">
        <v>437.60599999999999</v>
      </c>
      <c r="N15" s="1">
        <v>438.25700000000001</v>
      </c>
      <c r="O15" s="1">
        <v>438.25700000000001</v>
      </c>
      <c r="P15" s="1">
        <v>438.25700000000001</v>
      </c>
      <c r="Q15" s="1">
        <v>438.25700000000001</v>
      </c>
      <c r="R15" s="1">
        <v>438.25700000000001</v>
      </c>
      <c r="S15" s="1">
        <v>54.304000000000002</v>
      </c>
      <c r="T15" s="1">
        <v>54.369</v>
      </c>
      <c r="U15" s="1">
        <v>58.904000000000003</v>
      </c>
      <c r="V15" s="1">
        <v>425.327</v>
      </c>
      <c r="W15" s="1">
        <v>431.89400000000001</v>
      </c>
      <c r="X15" s="1">
        <v>436.45600000000002</v>
      </c>
      <c r="Y15" s="1">
        <v>438.25700000000001</v>
      </c>
      <c r="Z15" s="1">
        <v>438.25700000000001</v>
      </c>
      <c r="AA15" s="1">
        <v>438.25700000000001</v>
      </c>
      <c r="AB15" s="1">
        <v>438.25700000000001</v>
      </c>
      <c r="AC15" s="1">
        <v>438.25700000000001</v>
      </c>
      <c r="AD15" s="1">
        <v>438.25700000000001</v>
      </c>
      <c r="AE15" s="1">
        <v>438.25700000000001</v>
      </c>
      <c r="AF15" s="1">
        <v>438.25700000000001</v>
      </c>
      <c r="AG15" s="1">
        <v>438.25700000000001</v>
      </c>
      <c r="AH15" s="1">
        <v>438.25700000000001</v>
      </c>
      <c r="AI15" s="1">
        <v>438.25700000000001</v>
      </c>
      <c r="AJ15" s="1">
        <v>438.25700000000001</v>
      </c>
      <c r="AK15" s="1">
        <v>438.25700000000001</v>
      </c>
      <c r="AL15" s="1">
        <v>438.25700000000001</v>
      </c>
      <c r="AM15" s="1">
        <v>438.25700000000001</v>
      </c>
      <c r="AN15" s="1"/>
      <c r="AO15" s="1"/>
      <c r="AP15" s="1"/>
      <c r="AQ15" s="1"/>
      <c r="AR15" s="1"/>
      <c r="AS15" s="1"/>
      <c r="AT15" s="1"/>
      <c r="AU15" s="1"/>
      <c r="AV15" s="1"/>
    </row>
    <row r="16" spans="1:48" s="3" customFormat="1" x14ac:dyDescent="0.2">
      <c r="B16" t="s">
        <v>34</v>
      </c>
      <c r="C16" s="3">
        <f t="shared" ref="C16:N16" si="76">C14/C15</f>
        <v>4.4707877498088452E-2</v>
      </c>
      <c r="D16" s="3">
        <f t="shared" si="76"/>
        <v>0.48640039610496899</v>
      </c>
      <c r="E16" s="3">
        <f t="shared" si="76"/>
        <v>0.52175766519101596</v>
      </c>
      <c r="F16" s="3">
        <f t="shared" si="76"/>
        <v>0.78985058071251502</v>
      </c>
      <c r="G16" s="3">
        <f t="shared" si="76"/>
        <v>0.1231106918443076</v>
      </c>
      <c r="H16" s="3">
        <f t="shared" si="76"/>
        <v>1.1522536262452538</v>
      </c>
      <c r="I16" s="3">
        <f t="shared" si="76"/>
        <v>0.95915561307020436</v>
      </c>
      <c r="J16" s="3">
        <f t="shared" si="76"/>
        <v>1.3493073088625629</v>
      </c>
      <c r="K16" s="3">
        <f t="shared" si="76"/>
        <v>0.38236006002613698</v>
      </c>
      <c r="L16" s="3">
        <f t="shared" si="76"/>
        <v>6.038794121491315E-2</v>
      </c>
      <c r="M16" s="3">
        <f t="shared" si="76"/>
        <v>6.7256847483809432E-2</v>
      </c>
      <c r="N16" s="3">
        <f t="shared" si="76"/>
        <v>9.8522100046319852E-2</v>
      </c>
      <c r="O16" s="3">
        <f t="shared" ref="O16:R16" si="77">O14/O15</f>
        <v>0.12390052260888006</v>
      </c>
      <c r="P16" s="3">
        <f t="shared" si="77"/>
        <v>0.19586157727087064</v>
      </c>
      <c r="Q16" s="3">
        <f t="shared" si="77"/>
        <v>0.25202540427274395</v>
      </c>
      <c r="R16" s="3">
        <f t="shared" si="77"/>
        <v>0.30228923850711015</v>
      </c>
      <c r="S16" s="3">
        <f t="shared" ref="S16:Y16" si="78">S14/S15</f>
        <v>2.9620838243959917</v>
      </c>
      <c r="T16" s="3">
        <f t="shared" si="78"/>
        <v>4.1590980154131971</v>
      </c>
      <c r="U16" s="3">
        <f t="shared" si="78"/>
        <v>0.29118565801983209</v>
      </c>
      <c r="V16" s="3">
        <f t="shared" si="78"/>
        <v>0.26427431129460388</v>
      </c>
      <c r="W16" s="3">
        <f t="shared" si="78"/>
        <v>0.61774185332512077</v>
      </c>
      <c r="X16" s="3">
        <f t="shared" si="78"/>
        <v>0.28099281485419081</v>
      </c>
      <c r="Y16" s="3">
        <f t="shared" si="78"/>
        <v>0.87407674265960467</v>
      </c>
      <c r="Z16" s="3">
        <f t="shared" ref="Z16:AC16" si="79">Z14/Z15</f>
        <v>1.6388140204276773</v>
      </c>
      <c r="AA16" s="3">
        <f t="shared" si="79"/>
        <v>2.415682622782414</v>
      </c>
      <c r="AB16" s="3">
        <f t="shared" si="79"/>
        <v>3.4037390967292596</v>
      </c>
      <c r="AC16" s="3">
        <f t="shared" si="79"/>
        <v>4.6547621256608336</v>
      </c>
      <c r="AD16" s="3">
        <f t="shared" ref="AD16:AE16" si="80">AD14/AD15</f>
        <v>6.6136762858772729</v>
      </c>
      <c r="AE16" s="3">
        <f t="shared" si="80"/>
        <v>8.2940211818060927</v>
      </c>
      <c r="AF16" s="3">
        <f t="shared" ref="AF16:AH16" si="81">AF14/AF15</f>
        <v>9.1527236258212774</v>
      </c>
      <c r="AG16" s="3">
        <f t="shared" si="81"/>
        <v>10.094366281654521</v>
      </c>
      <c r="AH16" s="3">
        <f t="shared" si="81"/>
        <v>11.127536173745979</v>
      </c>
      <c r="AI16" s="3">
        <f t="shared" ref="AI16:AM16" si="82">AI14/AI15</f>
        <v>11.680679612346795</v>
      </c>
      <c r="AJ16" s="3">
        <f t="shared" si="82"/>
        <v>12.246333492912846</v>
      </c>
      <c r="AK16" s="3">
        <f t="shared" si="82"/>
        <v>12.823115705446094</v>
      </c>
      <c r="AL16" s="3">
        <f t="shared" si="82"/>
        <v>13.409285296261249</v>
      </c>
      <c r="AM16" s="3">
        <f t="shared" si="82"/>
        <v>14.002694770518344</v>
      </c>
    </row>
    <row r="17" spans="2:48" x14ac:dyDescent="0.2">
      <c r="B17" s="3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</row>
    <row r="18" spans="2:48" s="8" customFormat="1" x14ac:dyDescent="0.2">
      <c r="B18" s="8" t="s">
        <v>36</v>
      </c>
      <c r="G18" s="8">
        <f t="shared" ref="G18:M18" si="83">G3/C3-1</f>
        <v>0.24036852966079758</v>
      </c>
      <c r="H18" s="8">
        <f t="shared" si="83"/>
        <v>0.25345249361307376</v>
      </c>
      <c r="I18" s="8">
        <f t="shared" si="83"/>
        <v>0.27435196596018629</v>
      </c>
      <c r="J18" s="8">
        <f t="shared" si="83"/>
        <v>0.2633510036333313</v>
      </c>
      <c r="K18" s="8">
        <f t="shared" si="83"/>
        <v>0.23859745261946208</v>
      </c>
      <c r="L18" s="8">
        <f t="shared" si="83"/>
        <v>0.22701090042054384</v>
      </c>
      <c r="M18" s="8">
        <f t="shared" si="83"/>
        <v>0.23337273454838536</v>
      </c>
      <c r="N18" s="8">
        <f>N3/J3-1</f>
        <v>0.22805860736781414</v>
      </c>
      <c r="O18" s="8">
        <f t="shared" ref="O18:R18" si="84">O3/K3-1</f>
        <v>0.22999999999999998</v>
      </c>
      <c r="P18" s="8">
        <f t="shared" si="84"/>
        <v>0.22999999999999998</v>
      </c>
      <c r="Q18" s="8">
        <f t="shared" si="84"/>
        <v>0.22999999999999998</v>
      </c>
      <c r="R18" s="8">
        <f t="shared" si="84"/>
        <v>0.22999999999999998</v>
      </c>
      <c r="T18" s="8">
        <f t="shared" ref="T18:U18" si="85">T3/S3-1</f>
        <v>0.48179966475926261</v>
      </c>
      <c r="U18" s="8">
        <f t="shared" si="85"/>
        <v>0.12628967879380015</v>
      </c>
      <c r="V18" s="8">
        <f t="shared" ref="V18:W18" si="86">V3/U3-1</f>
        <v>0.21203109094828276</v>
      </c>
      <c r="W18" s="8">
        <f t="shared" si="86"/>
        <v>0.25833306283006174</v>
      </c>
      <c r="X18" s="8">
        <f>X3/W3-1</f>
        <v>0.23159576184233854</v>
      </c>
      <c r="Y18" s="8">
        <f>Y3/X3-1</f>
        <v>0.22999999999999998</v>
      </c>
      <c r="Z18" s="8">
        <f>Z3/Y3-1</f>
        <v>0.21999999999999997</v>
      </c>
      <c r="AA18" s="8">
        <f t="shared" ref="AA18:AC18" si="87">AA3/Z3-1</f>
        <v>0.21999999999999997</v>
      </c>
      <c r="AB18" s="8">
        <f t="shared" si="87"/>
        <v>0.21999999999999997</v>
      </c>
      <c r="AC18" s="8">
        <f t="shared" si="87"/>
        <v>0.21999999999999997</v>
      </c>
      <c r="AD18" s="8">
        <f t="shared" ref="AD18:AE18" si="88">AD3/AC3-1</f>
        <v>0.17999999999999994</v>
      </c>
      <c r="AE18" s="8">
        <f t="shared" si="88"/>
        <v>0.17999999999999994</v>
      </c>
      <c r="AF18" s="8">
        <f t="shared" ref="AF18:AH18" si="89">AF3/AE3-1</f>
        <v>0.10000000000000009</v>
      </c>
      <c r="AG18" s="8">
        <f t="shared" si="89"/>
        <v>0.10000000000000009</v>
      </c>
      <c r="AH18" s="8">
        <f t="shared" si="89"/>
        <v>0.10000000000000009</v>
      </c>
      <c r="AI18" s="8">
        <f t="shared" ref="AI18:AM18" si="90">AI3/AH3-1</f>
        <v>7.0000000000000062E-2</v>
      </c>
      <c r="AJ18" s="8">
        <f t="shared" si="90"/>
        <v>7.0000000000000062E-2</v>
      </c>
      <c r="AK18" s="8">
        <f t="shared" si="90"/>
        <v>7.0000000000000062E-2</v>
      </c>
      <c r="AL18" s="8">
        <f t="shared" si="90"/>
        <v>7.0000000000000062E-2</v>
      </c>
      <c r="AM18" s="8">
        <f t="shared" si="90"/>
        <v>7.0000000000000062E-2</v>
      </c>
    </row>
    <row r="19" spans="2:48" s="6" customFormat="1" x14ac:dyDescent="0.2">
      <c r="B19" s="6" t="s">
        <v>40</v>
      </c>
      <c r="G19" s="10">
        <f t="shared" ref="G19:M19" si="91">G4/C4-1</f>
        <v>0.17943366732161659</v>
      </c>
      <c r="H19" s="10">
        <f t="shared" si="91"/>
        <v>0.20268078046574489</v>
      </c>
      <c r="I19" s="10">
        <f t="shared" si="91"/>
        <v>0.19463512329453003</v>
      </c>
      <c r="J19" s="10">
        <f t="shared" si="91"/>
        <v>0.23596981516479687</v>
      </c>
      <c r="K19" s="10">
        <f t="shared" si="91"/>
        <v>0.20388616475645027</v>
      </c>
      <c r="L19" s="10">
        <f t="shared" si="91"/>
        <v>0.22616216027143299</v>
      </c>
      <c r="M19" s="10">
        <f t="shared" si="91"/>
        <v>0.23005593077911235</v>
      </c>
      <c r="N19" s="10">
        <f>N4/J4-1</f>
        <v>0.23171210215195814</v>
      </c>
      <c r="O19" s="10">
        <f t="shared" ref="O19:R19" si="92">O4/K4-1</f>
        <v>0.23892810585999036</v>
      </c>
      <c r="P19" s="10">
        <f t="shared" si="92"/>
        <v>0.19024756737674631</v>
      </c>
      <c r="Q19" s="10">
        <f t="shared" si="92"/>
        <v>0.20208439228660624</v>
      </c>
      <c r="R19" s="10">
        <f t="shared" si="92"/>
        <v>0.18474723511543889</v>
      </c>
      <c r="T19" s="6">
        <f t="shared" ref="T19:U19" si="93">T9/S9-1</f>
        <v>0.51181778620437135</v>
      </c>
      <c r="U19" s="6">
        <f t="shared" si="93"/>
        <v>0.18363496185684136</v>
      </c>
      <c r="V19" s="6">
        <f t="shared" ref="V19:W19" si="94">V9/U9-1</f>
        <v>0.10240576629698817</v>
      </c>
      <c r="W19" s="6">
        <f t="shared" si="94"/>
        <v>0.311207255114615</v>
      </c>
      <c r="X19" s="6">
        <f>X9/W9-1</f>
        <v>0.39500595887486956</v>
      </c>
      <c r="Y19" s="6">
        <f>Y9/X9-1</f>
        <v>0.11509670737298028</v>
      </c>
      <c r="Z19" s="6">
        <f>Z9/Y9-1</f>
        <v>0.12000000000000011</v>
      </c>
      <c r="AA19" s="6">
        <f t="shared" ref="AA19:AC19" si="95">AA9/Z9-1</f>
        <v>0.12000000000000033</v>
      </c>
      <c r="AB19" s="6">
        <f t="shared" si="95"/>
        <v>0.12000000000000011</v>
      </c>
      <c r="AC19" s="6">
        <f t="shared" si="95"/>
        <v>0.12000000000000011</v>
      </c>
      <c r="AD19" s="6">
        <f t="shared" ref="AD19:AE19" si="96">AD9/AC9-1</f>
        <v>0.10000000000000009</v>
      </c>
      <c r="AE19" s="6">
        <f t="shared" si="96"/>
        <v>0.10000000000000031</v>
      </c>
      <c r="AF19" s="6">
        <f t="shared" ref="AF19:AH19" si="97">AF9/AE9-1</f>
        <v>9.9999999999999867E-2</v>
      </c>
      <c r="AG19" s="6">
        <f t="shared" si="97"/>
        <v>0.10000000000000009</v>
      </c>
      <c r="AH19" s="6">
        <f t="shared" si="97"/>
        <v>0.10000000000000031</v>
      </c>
      <c r="AI19" s="6">
        <f t="shared" ref="AI19:AM19" si="98">AI9/AH9-1</f>
        <v>9.9999999999999867E-2</v>
      </c>
      <c r="AJ19" s="6">
        <f t="shared" si="98"/>
        <v>9.9999999999999867E-2</v>
      </c>
      <c r="AK19" s="6">
        <f t="shared" si="98"/>
        <v>0.10000000000000031</v>
      </c>
      <c r="AL19" s="6">
        <f t="shared" si="98"/>
        <v>0.10000000000000009</v>
      </c>
      <c r="AM19" s="6">
        <f t="shared" si="98"/>
        <v>0.10000000000000009</v>
      </c>
    </row>
    <row r="20" spans="2:48" s="6" customFormat="1" x14ac:dyDescent="0.2">
      <c r="B20" s="6" t="s">
        <v>37</v>
      </c>
      <c r="C20" s="6">
        <f t="shared" ref="C20:N20" si="99">C5/C3</f>
        <v>0.28029290178043892</v>
      </c>
      <c r="D20" s="6">
        <f t="shared" si="99"/>
        <v>0.28867223005651921</v>
      </c>
      <c r="E20" s="6">
        <f t="shared" si="99"/>
        <v>0.27766661633509621</v>
      </c>
      <c r="F20" s="6">
        <f t="shared" si="99"/>
        <v>0.30168818018600613</v>
      </c>
      <c r="G20" s="6">
        <f t="shared" si="99"/>
        <v>0.31564953322168754</v>
      </c>
      <c r="H20" s="6">
        <f t="shared" si="99"/>
        <v>0.31748491316443439</v>
      </c>
      <c r="I20" s="6">
        <f t="shared" si="99"/>
        <v>0.32285204252493205</v>
      </c>
      <c r="J20" s="6">
        <f t="shared" si="99"/>
        <v>0.3168230140470174</v>
      </c>
      <c r="K20" s="6">
        <f t="shared" si="99"/>
        <v>0.33482823086981417</v>
      </c>
      <c r="L20" s="6">
        <f t="shared" si="99"/>
        <v>0.31795701814440863</v>
      </c>
      <c r="M20" s="6">
        <f t="shared" si="99"/>
        <v>0.32467303859108176</v>
      </c>
      <c r="N20" s="6">
        <f t="shared" si="99"/>
        <v>0.31479055115000937</v>
      </c>
      <c r="O20" s="6">
        <f t="shared" ref="O20:R20" si="100">O5/O3</f>
        <v>0.33</v>
      </c>
      <c r="P20" s="6">
        <f t="shared" si="100"/>
        <v>0.34</v>
      </c>
      <c r="Q20" s="6">
        <f t="shared" si="100"/>
        <v>0.34</v>
      </c>
      <c r="R20" s="6">
        <f t="shared" si="100"/>
        <v>0.34</v>
      </c>
      <c r="S20" s="6">
        <f t="shared" ref="S20:X20" si="101">S5/S3</f>
        <v>0.3723576671868678</v>
      </c>
      <c r="T20" s="6">
        <f t="shared" si="101"/>
        <v>0.36344141520082063</v>
      </c>
      <c r="U20" s="6">
        <f t="shared" si="101"/>
        <v>0.27246859624712066</v>
      </c>
      <c r="V20" s="6">
        <f t="shared" si="101"/>
        <v>0.28742511821754951</v>
      </c>
      <c r="W20" s="6">
        <f t="shared" si="101"/>
        <v>0.31825712633087333</v>
      </c>
      <c r="X20" s="6">
        <f t="shared" si="101"/>
        <v>0.32274230398033144</v>
      </c>
      <c r="Y20" s="6">
        <f t="shared" ref="Y20:Z20" si="102">Y5/Y3</f>
        <v>0.33767958337998122</v>
      </c>
      <c r="Z20" s="6">
        <f t="shared" si="102"/>
        <v>0.35</v>
      </c>
      <c r="AA20" s="6">
        <f t="shared" ref="AA20:AC20" si="103">AA5/AA3</f>
        <v>0.35000000000000003</v>
      </c>
      <c r="AB20" s="6">
        <f t="shared" si="103"/>
        <v>0.35</v>
      </c>
      <c r="AC20" s="6">
        <f t="shared" si="103"/>
        <v>0.35</v>
      </c>
      <c r="AD20" s="6">
        <f t="shared" ref="AD20:AE20" si="104">AD5/AD3</f>
        <v>0.37</v>
      </c>
      <c r="AE20" s="6">
        <f t="shared" si="104"/>
        <v>0.37</v>
      </c>
      <c r="AF20" s="6">
        <f t="shared" ref="AF20:AH20" si="105">AF5/AF3</f>
        <v>0.37</v>
      </c>
      <c r="AG20" s="6">
        <f t="shared" si="105"/>
        <v>0.37</v>
      </c>
      <c r="AH20" s="6">
        <f t="shared" si="105"/>
        <v>0.37</v>
      </c>
      <c r="AI20" s="6">
        <f t="shared" ref="AI20:AM20" si="106">AI5/AI3</f>
        <v>0.37</v>
      </c>
      <c r="AJ20" s="6">
        <f t="shared" si="106"/>
        <v>0.37</v>
      </c>
      <c r="AK20" s="6">
        <f t="shared" si="106"/>
        <v>0.37</v>
      </c>
      <c r="AL20" s="6">
        <f t="shared" si="106"/>
        <v>0.37</v>
      </c>
      <c r="AM20" s="6">
        <f t="shared" si="106"/>
        <v>0.37</v>
      </c>
    </row>
    <row r="21" spans="2:48" s="6" customFormat="1" x14ac:dyDescent="0.2">
      <c r="B21" s="6" t="s">
        <v>38</v>
      </c>
      <c r="C21" s="6">
        <f t="shared" ref="C21:N21" si="107">C10/C3</f>
        <v>3.1077355485218706E-2</v>
      </c>
      <c r="D21" s="6">
        <f t="shared" si="107"/>
        <v>5.3411722020026774E-2</v>
      </c>
      <c r="E21" s="6">
        <f t="shared" si="107"/>
        <v>5.1645616316108839E-2</v>
      </c>
      <c r="F21" s="6">
        <f t="shared" si="107"/>
        <v>7.0018634650238679E-2</v>
      </c>
      <c r="G21" s="6">
        <f t="shared" si="107"/>
        <v>7.6841071767411506E-2</v>
      </c>
      <c r="H21" s="6">
        <f t="shared" si="107"/>
        <v>9.6687051022562531E-2</v>
      </c>
      <c r="I21" s="6">
        <f t="shared" si="107"/>
        <v>7.8334392861805352E-2</v>
      </c>
      <c r="J21" s="6">
        <f t="shared" si="107"/>
        <v>4.3810044668114327E-2</v>
      </c>
      <c r="K21" s="6">
        <f t="shared" si="107"/>
        <v>6.1950418560715488E-2</v>
      </c>
      <c r="L21" s="6">
        <f t="shared" si="107"/>
        <v>4.5500865206536886E-2</v>
      </c>
      <c r="M21" s="6">
        <f t="shared" si="107"/>
        <v>4.2362463363352081E-2</v>
      </c>
      <c r="N21" s="6">
        <f t="shared" si="107"/>
        <v>3.2848634890061228E-2</v>
      </c>
      <c r="O21" s="6">
        <f t="shared" ref="O21:R21" si="108">O10/O3</f>
        <v>6.1517544597190756E-2</v>
      </c>
      <c r="P21" s="6">
        <f t="shared" si="108"/>
        <v>8.1545525887776998E-2</v>
      </c>
      <c r="Q21" s="6">
        <f t="shared" si="108"/>
        <v>9.3816659725939847E-2</v>
      </c>
      <c r="R21" s="6">
        <f t="shared" si="108"/>
        <v>0.1036262841628334</v>
      </c>
      <c r="S21" s="6">
        <f t="shared" ref="S21:X21" si="109">S10/S3</f>
        <v>0.13115588694295124</v>
      </c>
      <c r="T21" s="6">
        <f t="shared" si="109"/>
        <v>0.11735339796796897</v>
      </c>
      <c r="U21" s="6">
        <f t="shared" si="109"/>
        <v>1.3850954289523564E-2</v>
      </c>
      <c r="V21" s="6">
        <f t="shared" si="109"/>
        <v>5.2198825848164911E-2</v>
      </c>
      <c r="W21" s="6">
        <f t="shared" si="109"/>
        <v>7.3146805177289859E-2</v>
      </c>
      <c r="X21" s="6">
        <f t="shared" si="109"/>
        <v>4.5110333178897517E-2</v>
      </c>
      <c r="Y21" s="6">
        <f t="shared" ref="Y21:Z21" si="110">Y10/Y3</f>
        <v>8.5983244760346744E-2</v>
      </c>
      <c r="Z21" s="6">
        <f t="shared" si="110"/>
        <v>0.1189345088082044</v>
      </c>
      <c r="AA21" s="6">
        <f t="shared" ref="AA21:AC21" si="111">AA10/AA3</f>
        <v>0.13787430316818763</v>
      </c>
      <c r="AB21" s="6">
        <f t="shared" si="111"/>
        <v>0.15526165536751643</v>
      </c>
      <c r="AC21" s="6">
        <f t="shared" si="111"/>
        <v>0.17122381476362167</v>
      </c>
      <c r="AD21" s="6">
        <f t="shared" ref="AD21:AE21" si="112">AD10/AD3</f>
        <v>0.20334423410168118</v>
      </c>
      <c r="AE21" s="6">
        <f t="shared" si="112"/>
        <v>0.21464293009478749</v>
      </c>
      <c r="AF21" s="6">
        <f t="shared" ref="AF21:AH21" si="113">AF10/AF3</f>
        <v>0.21464293009478752</v>
      </c>
      <c r="AG21" s="6">
        <f t="shared" si="113"/>
        <v>0.21464293009478752</v>
      </c>
      <c r="AH21" s="6">
        <f t="shared" si="113"/>
        <v>0.21464293009478749</v>
      </c>
      <c r="AI21" s="6">
        <f t="shared" ref="AI21:AM21" si="114">AI10/AI3</f>
        <v>0.21028712439651054</v>
      </c>
      <c r="AJ21" s="6">
        <f t="shared" si="114"/>
        <v>0.20580919330482395</v>
      </c>
      <c r="AK21" s="6">
        <f t="shared" si="114"/>
        <v>0.20120571274327692</v>
      </c>
      <c r="AL21" s="6">
        <f t="shared" si="114"/>
        <v>0.19647316263327536</v>
      </c>
      <c r="AM21" s="6">
        <f t="shared" si="114"/>
        <v>0.19160792420243261</v>
      </c>
    </row>
    <row r="22" spans="2:48" s="6" customFormat="1" x14ac:dyDescent="0.2">
      <c r="B22" s="6" t="s">
        <v>39</v>
      </c>
      <c r="C22" s="6">
        <f t="shared" ref="C22:N22" si="115">C13/C12</f>
        <v>-1.8913978494623083</v>
      </c>
      <c r="D22" s="6">
        <f t="shared" si="115"/>
        <v>0.3682394049175754</v>
      </c>
      <c r="E22" s="6">
        <f t="shared" si="115"/>
        <v>0.35701440665979628</v>
      </c>
      <c r="F22" s="6">
        <f t="shared" si="115"/>
        <v>0.34569752986325053</v>
      </c>
      <c r="G22" s="6">
        <f t="shared" si="115"/>
        <v>0.40282649757150607</v>
      </c>
      <c r="H22" s="6">
        <f t="shared" si="115"/>
        <v>0.39493235183859871</v>
      </c>
      <c r="I22" s="6">
        <f t="shared" si="115"/>
        <v>0.39207685288659672</v>
      </c>
      <c r="J22" s="6">
        <f t="shared" si="115"/>
        <v>-0.83168556112136294</v>
      </c>
      <c r="K22" s="6">
        <f t="shared" si="115"/>
        <v>0.38333420080154273</v>
      </c>
      <c r="L22" s="6">
        <f t="shared" si="115"/>
        <v>0.34959249197332692</v>
      </c>
      <c r="M22" s="6">
        <f t="shared" si="115"/>
        <v>0.30318670391590574</v>
      </c>
      <c r="N22" s="6">
        <f t="shared" si="115"/>
        <v>-1.0827745887800877</v>
      </c>
      <c r="O22" s="6">
        <f t="shared" ref="O22:R22" si="116">O13/O12</f>
        <v>0.33</v>
      </c>
      <c r="P22" s="6">
        <f t="shared" si="116"/>
        <v>0.33</v>
      </c>
      <c r="Q22" s="6">
        <f t="shared" si="116"/>
        <v>0.33</v>
      </c>
      <c r="R22" s="6">
        <f t="shared" si="116"/>
        <v>0.33</v>
      </c>
      <c r="S22" s="6">
        <f t="shared" ref="S22:X22" si="117">S13/S12</f>
        <v>0.39912064431295208</v>
      </c>
      <c r="T22" s="6">
        <f t="shared" si="117"/>
        <v>0.37103709925957229</v>
      </c>
      <c r="U22" s="6">
        <f t="shared" si="117"/>
        <v>0.43727034120734637</v>
      </c>
      <c r="V22" s="6">
        <f t="shared" si="117"/>
        <v>0.34295684908285307</v>
      </c>
      <c r="W22" s="6">
        <f t="shared" si="117"/>
        <v>0.23634037364505742</v>
      </c>
      <c r="X22" s="6">
        <f t="shared" si="117"/>
        <v>0.13563096874229061</v>
      </c>
      <c r="Y22" s="6">
        <f t="shared" ref="Y22:Z22" si="118">Y13/Y12</f>
        <v>0.33</v>
      </c>
      <c r="Z22" s="6">
        <f t="shared" si="118"/>
        <v>0.33</v>
      </c>
      <c r="AA22" s="6">
        <f t="shared" ref="AA22:AC22" si="119">AA13/AA12</f>
        <v>0.33</v>
      </c>
      <c r="AB22" s="6">
        <f t="shared" si="119"/>
        <v>0.33</v>
      </c>
      <c r="AC22" s="6">
        <f t="shared" si="119"/>
        <v>0.33</v>
      </c>
      <c r="AD22" s="6">
        <f t="shared" ref="AD22:AE22" si="120">AD13/AD12</f>
        <v>0.33</v>
      </c>
      <c r="AE22" s="6">
        <f t="shared" si="120"/>
        <v>0.33</v>
      </c>
      <c r="AF22" s="6">
        <f t="shared" ref="AF22:AH22" si="121">AF13/AF12</f>
        <v>0.33</v>
      </c>
      <c r="AG22" s="6">
        <f t="shared" si="121"/>
        <v>0.33</v>
      </c>
      <c r="AH22" s="6">
        <f t="shared" si="121"/>
        <v>0.33</v>
      </c>
      <c r="AI22" s="6">
        <f t="shared" ref="AI22:AM22" si="122">AI13/AI12</f>
        <v>0.33</v>
      </c>
      <c r="AJ22" s="6">
        <f t="shared" si="122"/>
        <v>0.33</v>
      </c>
      <c r="AK22" s="6">
        <f t="shared" si="122"/>
        <v>0.33</v>
      </c>
      <c r="AL22" s="6">
        <f t="shared" si="122"/>
        <v>0.33</v>
      </c>
      <c r="AM22" s="6">
        <f t="shared" si="122"/>
        <v>0.33</v>
      </c>
    </row>
    <row r="23" spans="2:48" x14ac:dyDescent="0.2"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</row>
    <row r="24" spans="2:48" x14ac:dyDescent="0.2"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</row>
    <row r="25" spans="2:48" x14ac:dyDescent="0.2">
      <c r="B25" s="6" t="s">
        <v>43</v>
      </c>
      <c r="C25" s="1">
        <f t="shared" ref="C25" si="123">C26-C40</f>
        <v>325.87200000000007</v>
      </c>
      <c r="D25" s="1">
        <f t="shared" ref="D25:N25" si="124">D26-D40</f>
        <v>580.11000000000013</v>
      </c>
      <c r="E25" s="1">
        <f t="shared" si="124"/>
        <v>634.98700000000008</v>
      </c>
      <c r="F25" s="1">
        <f t="shared" si="124"/>
        <v>700.4050000000002</v>
      </c>
      <c r="G25" s="1">
        <f t="shared" si="124"/>
        <v>768.24299999999994</v>
      </c>
      <c r="H25" s="1">
        <f t="shared" si="124"/>
        <v>814.36499999999978</v>
      </c>
      <c r="I25" s="1">
        <f t="shared" si="124"/>
        <v>766.81899999999996</v>
      </c>
      <c r="J25" s="1">
        <f t="shared" si="124"/>
        <v>722.64699999999982</v>
      </c>
      <c r="K25" s="1">
        <f t="shared" si="124"/>
        <v>557.70800000000008</v>
      </c>
      <c r="L25" s="1">
        <f t="shared" si="124"/>
        <v>396.75799999999981</v>
      </c>
      <c r="M25" s="1">
        <f t="shared" si="124"/>
        <v>209.64199999999983</v>
      </c>
      <c r="N25" s="1">
        <f t="shared" si="124"/>
        <v>-60.646999999999935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</row>
    <row r="26" spans="2:48" x14ac:dyDescent="0.2">
      <c r="B26" s="6" t="s">
        <v>4</v>
      </c>
      <c r="C26" s="1">
        <f>418.051+607.821</f>
        <v>1025.8720000000001</v>
      </c>
      <c r="D26" s="1">
        <f>370.678+709.432</f>
        <v>1080.1100000000001</v>
      </c>
      <c r="E26" s="1">
        <f>439.056+695.931</f>
        <v>1134.9870000000001</v>
      </c>
      <c r="F26" s="1">
        <f>604.965+595.44</f>
        <v>1200.4050000000002</v>
      </c>
      <c r="G26" s="1">
        <f>1157.45+510.793</f>
        <v>1668.2429999999999</v>
      </c>
      <c r="H26" s="1">
        <f>1214.244+500.121</f>
        <v>1714.3649999999998</v>
      </c>
      <c r="I26" s="1">
        <f>1183.217+483.602</f>
        <v>1666.819</v>
      </c>
      <c r="J26" s="1">
        <f>1113.608+494.888</f>
        <v>1608.4959999999999</v>
      </c>
      <c r="K26" s="1">
        <f>2454.777+502.931</f>
        <v>2957.7080000000001</v>
      </c>
      <c r="L26" s="1">
        <f>2293.872+502.886</f>
        <v>2796.7579999999998</v>
      </c>
      <c r="M26" s="1">
        <f>2115.437+494.205</f>
        <v>2609.6419999999998</v>
      </c>
      <c r="N26" s="1">
        <f>1809.33+501.385</f>
        <v>2310.7150000000001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</row>
    <row r="27" spans="2:48" x14ac:dyDescent="0.2">
      <c r="B27" s="6" t="s">
        <v>44</v>
      </c>
      <c r="C27" s="1">
        <v>1391.5050000000001</v>
      </c>
      <c r="D27" s="1">
        <v>1363.6089999999999</v>
      </c>
      <c r="E27" s="1">
        <f>1577.514+30.522</f>
        <v>1608.0359999999998</v>
      </c>
      <c r="F27" s="1">
        <v>1706.421</v>
      </c>
      <c r="G27" s="1">
        <v>1771.41</v>
      </c>
      <c r="H27" s="1">
        <v>1786.3409999999999</v>
      </c>
      <c r="I27" s="1">
        <v>2006.981</v>
      </c>
      <c r="J27" s="1">
        <v>2166.134</v>
      </c>
      <c r="K27" s="1">
        <v>2370.4470000000001</v>
      </c>
      <c r="L27" s="1">
        <v>2510.9459999999999</v>
      </c>
      <c r="M27" s="1">
        <v>2695.1840000000002</v>
      </c>
      <c r="N27" s="1">
        <v>2905.998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</row>
    <row r="28" spans="2:48" x14ac:dyDescent="0.2">
      <c r="B28" s="6" t="s">
        <v>45</v>
      </c>
      <c r="C28" s="1">
        <f>82.469+57.254</f>
        <v>139.72299999999998</v>
      </c>
      <c r="D28" s="1">
        <f>32.064+94.539</f>
        <v>126.60300000000001</v>
      </c>
      <c r="E28" s="1">
        <v>106.255</v>
      </c>
      <c r="F28" s="1">
        <v>151.93700000000001</v>
      </c>
      <c r="G28" s="1">
        <v>147.131</v>
      </c>
      <c r="H28" s="1">
        <v>167.67400000000001</v>
      </c>
      <c r="I28" s="1">
        <v>149.68199999999999</v>
      </c>
      <c r="J28" s="1">
        <v>152.423</v>
      </c>
      <c r="K28" s="1">
        <v>210.90100000000001</v>
      </c>
      <c r="L28" s="1">
        <v>292.80599999999998</v>
      </c>
      <c r="M28" s="1">
        <v>264.887</v>
      </c>
      <c r="N28" s="1">
        <v>215.12700000000001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</row>
    <row r="29" spans="2:48" x14ac:dyDescent="0.2">
      <c r="B29" s="6" t="s">
        <v>57</v>
      </c>
      <c r="C29" s="1">
        <v>1576.674</v>
      </c>
      <c r="D29" s="1">
        <v>1682.202</v>
      </c>
      <c r="E29" s="1">
        <v>1808.3869999999999</v>
      </c>
      <c r="F29" s="1">
        <v>2091.0709999999999</v>
      </c>
      <c r="G29" s="1">
        <v>2179.4740000000002</v>
      </c>
      <c r="H29" s="1">
        <v>2348.7959999999998</v>
      </c>
      <c r="I29" s="1">
        <v>2631.8820000000001</v>
      </c>
      <c r="J29" s="1">
        <v>2773.326</v>
      </c>
      <c r="K29" s="1">
        <v>3312.3530000000001</v>
      </c>
      <c r="L29" s="1">
        <v>3640.7669999999998</v>
      </c>
      <c r="M29" s="1">
        <v>3891.79</v>
      </c>
      <c r="N29" s="1">
        <v>4312.817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</row>
    <row r="30" spans="2:48" x14ac:dyDescent="0.2">
      <c r="B30" s="6" t="s">
        <v>47</v>
      </c>
      <c r="C30" s="1">
        <v>100.196</v>
      </c>
      <c r="D30" s="1">
        <v>100.29600000000001</v>
      </c>
      <c r="E30" s="1">
        <v>116.39700000000001</v>
      </c>
      <c r="F30" s="1">
        <v>129.124</v>
      </c>
      <c r="G30" s="1">
        <v>148.375</v>
      </c>
      <c r="H30" s="1">
        <v>166.93100000000001</v>
      </c>
      <c r="I30" s="1">
        <v>178.81800000000001</v>
      </c>
      <c r="J30" s="1">
        <v>149.875</v>
      </c>
      <c r="K30" s="1">
        <v>243.40100000000001</v>
      </c>
      <c r="L30" s="1">
        <v>242.18799999999999</v>
      </c>
      <c r="M30" s="1">
        <v>273.49599999999998</v>
      </c>
      <c r="N30" s="1">
        <v>173.41200000000001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</row>
    <row r="31" spans="2:48" x14ac:dyDescent="0.2">
      <c r="B31" s="6" t="s">
        <v>46</v>
      </c>
      <c r="C31" s="1">
        <v>129.31899999999999</v>
      </c>
      <c r="D31" s="1">
        <v>127.931</v>
      </c>
      <c r="E31" s="1">
        <v>127.26300000000001</v>
      </c>
      <c r="F31" s="1">
        <v>133.60499999999999</v>
      </c>
      <c r="G31" s="1">
        <v>133.47300000000001</v>
      </c>
      <c r="H31" s="1">
        <v>141.715</v>
      </c>
      <c r="I31" s="1">
        <v>144.14699999999999</v>
      </c>
      <c r="J31" s="1">
        <v>192.24600000000001</v>
      </c>
      <c r="K31" s="1">
        <v>145.816</v>
      </c>
      <c r="L31" s="1">
        <v>171.39599999999999</v>
      </c>
      <c r="M31" s="1">
        <v>181.268</v>
      </c>
      <c r="N31" s="1">
        <v>284.80200000000002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2:48" x14ac:dyDescent="0.2">
      <c r="B32" s="6" t="s">
        <v>48</v>
      </c>
      <c r="C32" s="1">
        <f>SUM(C26:C31)</f>
        <v>4363.2890000000007</v>
      </c>
      <c r="D32" s="1">
        <f>SUM(D26:D31)</f>
        <v>4480.7510000000002</v>
      </c>
      <c r="E32" s="1">
        <f>SUM(E26:E31)</f>
        <v>4901.3249999999998</v>
      </c>
      <c r="F32" s="1">
        <f>SUM(F26:F31)</f>
        <v>5412.5629999999992</v>
      </c>
      <c r="G32" s="1">
        <f t="shared" ref="G32:N32" si="125">SUM(G26:G31)</f>
        <v>6048.1059999999998</v>
      </c>
      <c r="H32" s="1">
        <f t="shared" si="125"/>
        <v>6325.8219999999992</v>
      </c>
      <c r="I32" s="1">
        <f t="shared" si="125"/>
        <v>6778.3289999999997</v>
      </c>
      <c r="J32" s="1">
        <f t="shared" si="125"/>
        <v>7042.5</v>
      </c>
      <c r="K32" s="1">
        <f t="shared" si="125"/>
        <v>9240.6260000000002</v>
      </c>
      <c r="L32" s="1">
        <f t="shared" si="125"/>
        <v>9654.860999999999</v>
      </c>
      <c r="M32" s="1">
        <f t="shared" si="125"/>
        <v>9916.2669999999998</v>
      </c>
      <c r="N32" s="1">
        <f t="shared" si="125"/>
        <v>10202.870999999999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</row>
    <row r="33" spans="2:48" x14ac:dyDescent="0.2"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</row>
    <row r="34" spans="2:48" x14ac:dyDescent="0.2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</row>
    <row r="35" spans="2:48" x14ac:dyDescent="0.2">
      <c r="B35" s="6" t="s">
        <v>49</v>
      </c>
      <c r="C35" s="1">
        <v>1355.01</v>
      </c>
      <c r="D35" s="1">
        <v>1321.2170000000001</v>
      </c>
      <c r="E35" s="1">
        <v>1591.981</v>
      </c>
      <c r="F35" s="1">
        <v>1775.9829999999999</v>
      </c>
      <c r="G35" s="1">
        <v>1844.8969999999999</v>
      </c>
      <c r="H35" s="1">
        <v>1858.02</v>
      </c>
      <c r="I35" s="1">
        <v>2074.7660000000001</v>
      </c>
      <c r="J35" s="1">
        <v>2117.241</v>
      </c>
      <c r="K35" s="1">
        <v>2425.6190000000001</v>
      </c>
      <c r="L35" s="1">
        <v>2556.1799999999998</v>
      </c>
      <c r="M35" s="1">
        <v>2622.9639999999999</v>
      </c>
      <c r="N35" s="1">
        <v>2789.0230000000001</v>
      </c>
      <c r="O35" s="1"/>
      <c r="P35" s="13" t="s">
        <v>92</v>
      </c>
      <c r="Q35" s="14">
        <v>7.0000000000000007E-2</v>
      </c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</row>
    <row r="36" spans="2:48" x14ac:dyDescent="0.2">
      <c r="B36" s="6" t="s">
        <v>50</v>
      </c>
      <c r="C36" s="1">
        <v>102.822</v>
      </c>
      <c r="D36" s="1">
        <v>103.441</v>
      </c>
      <c r="E36" s="1">
        <v>100.899</v>
      </c>
      <c r="F36" s="1">
        <v>108.435</v>
      </c>
      <c r="G36" s="1">
        <v>133.88300000000001</v>
      </c>
      <c r="H36" s="1">
        <v>137.226</v>
      </c>
      <c r="I36" s="1">
        <v>150.374</v>
      </c>
      <c r="J36" s="1">
        <v>201.58099999999999</v>
      </c>
      <c r="K36" s="1">
        <v>190.56700000000001</v>
      </c>
      <c r="L36" s="1">
        <v>211.72900000000001</v>
      </c>
      <c r="M36" s="1">
        <v>209.36500000000001</v>
      </c>
      <c r="N36" s="1">
        <v>253.49100000000001</v>
      </c>
      <c r="O36" s="1"/>
      <c r="P36" s="15" t="s">
        <v>93</v>
      </c>
      <c r="Q36" s="16">
        <f>NPV(Q35,Y14:AM14)</f>
        <v>27507.511100824748</v>
      </c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</row>
    <row r="37" spans="2:48" x14ac:dyDescent="0.2">
      <c r="B37" s="6" t="s">
        <v>51</v>
      </c>
      <c r="C37" s="1">
        <v>52.003999999999998</v>
      </c>
      <c r="D37" s="1">
        <v>59.034999999999997</v>
      </c>
      <c r="E37" s="1">
        <v>46.433</v>
      </c>
      <c r="F37" s="1">
        <v>54.018000000000001</v>
      </c>
      <c r="G37" s="1">
        <v>54.857999999999997</v>
      </c>
      <c r="H37" s="1">
        <v>98.548000000000002</v>
      </c>
      <c r="I37" s="1">
        <v>70.558999999999997</v>
      </c>
      <c r="J37" s="1">
        <v>69.745999999999995</v>
      </c>
      <c r="K37" s="1">
        <v>107.32299999999999</v>
      </c>
      <c r="L37" s="1">
        <v>150.40600000000001</v>
      </c>
      <c r="M37" s="1">
        <v>179.35</v>
      </c>
      <c r="N37" s="1">
        <v>140.38900000000001</v>
      </c>
      <c r="O37" s="1"/>
      <c r="P37" s="15" t="s">
        <v>94</v>
      </c>
      <c r="Q37" s="16">
        <f>N25</f>
        <v>-60.646999999999935</v>
      </c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</row>
    <row r="38" spans="2:48" x14ac:dyDescent="0.2">
      <c r="B38" s="6" t="s">
        <v>80</v>
      </c>
      <c r="C38" s="1">
        <v>178.87799999999999</v>
      </c>
      <c r="D38" s="1">
        <v>186.571</v>
      </c>
      <c r="E38" s="1">
        <v>195.82300000000001</v>
      </c>
      <c r="F38" s="1">
        <v>215.767</v>
      </c>
      <c r="G38" s="1">
        <v>230.01499999999999</v>
      </c>
      <c r="H38" s="1">
        <v>241.33</v>
      </c>
      <c r="I38" s="1">
        <v>252.95599999999999</v>
      </c>
      <c r="J38" s="1">
        <v>274.58600000000001</v>
      </c>
      <c r="K38" s="1">
        <v>285.33999999999997</v>
      </c>
      <c r="L38" s="1">
        <v>301.75400000000002</v>
      </c>
      <c r="M38" s="1">
        <v>329.73899999999998</v>
      </c>
      <c r="N38" s="1">
        <v>346.721</v>
      </c>
      <c r="O38" s="1"/>
      <c r="P38" s="15" t="s">
        <v>95</v>
      </c>
      <c r="Q38" s="16">
        <f>Q36+Q37</f>
        <v>27446.864100824747</v>
      </c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</row>
    <row r="39" spans="2:48" x14ac:dyDescent="0.2">
      <c r="B39" s="6" t="s">
        <v>52</v>
      </c>
      <c r="C39" s="1">
        <v>1083.4269999999999</v>
      </c>
      <c r="D39" s="1">
        <v>1124.249</v>
      </c>
      <c r="E39" s="1">
        <v>1179.0550000000001</v>
      </c>
      <c r="F39" s="1">
        <v>1345.59</v>
      </c>
      <c r="G39" s="1">
        <v>1321.8789999999999</v>
      </c>
      <c r="H39" s="1">
        <v>1390.77</v>
      </c>
      <c r="I39" s="1">
        <v>1510.403</v>
      </c>
      <c r="J39" s="1">
        <v>1575.8320000000001</v>
      </c>
      <c r="K39" s="1">
        <v>1861.7909999999999</v>
      </c>
      <c r="L39" s="1">
        <v>1942.624</v>
      </c>
      <c r="M39" s="1">
        <v>1966.854</v>
      </c>
      <c r="N39" s="1">
        <v>2026.36</v>
      </c>
      <c r="O39" s="1"/>
      <c r="P39" s="15" t="s">
        <v>96</v>
      </c>
      <c r="Q39" s="16">
        <f>Q38/N15</f>
        <v>62.627326205456491</v>
      </c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2:48" x14ac:dyDescent="0.2">
      <c r="B40" s="6" t="s">
        <v>53</v>
      </c>
      <c r="C40" s="1">
        <f>500+200</f>
        <v>700</v>
      </c>
      <c r="D40" s="1">
        <v>500</v>
      </c>
      <c r="E40" s="1">
        <v>500</v>
      </c>
      <c r="F40" s="1">
        <v>500</v>
      </c>
      <c r="G40" s="1">
        <v>900</v>
      </c>
      <c r="H40" s="1">
        <v>900</v>
      </c>
      <c r="I40" s="1">
        <v>900</v>
      </c>
      <c r="J40" s="1">
        <v>885.84900000000005</v>
      </c>
      <c r="K40" s="1">
        <v>2400</v>
      </c>
      <c r="L40" s="1">
        <v>2400</v>
      </c>
      <c r="M40" s="1">
        <v>2400</v>
      </c>
      <c r="N40" s="1">
        <v>2371.3620000000001</v>
      </c>
      <c r="O40" s="1"/>
      <c r="P40" s="17" t="s">
        <v>97</v>
      </c>
      <c r="Q40" s="18">
        <f>[1]Main!$D$12</f>
        <v>95.94</v>
      </c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</row>
    <row r="41" spans="2:48" x14ac:dyDescent="0.2">
      <c r="B41" s="6" t="s">
        <v>54</v>
      </c>
      <c r="C41" s="1">
        <v>78.228999999999999</v>
      </c>
      <c r="D41" s="1">
        <v>80.616</v>
      </c>
      <c r="E41" s="1">
        <v>82.763999999999996</v>
      </c>
      <c r="F41" s="1">
        <v>79.209000000000003</v>
      </c>
      <c r="G41" s="1">
        <v>84.215999999999994</v>
      </c>
      <c r="H41" s="1">
        <v>90.222999999999999</v>
      </c>
      <c r="I41" s="1">
        <v>94.397000000000006</v>
      </c>
      <c r="J41" s="1">
        <v>59.957000000000001</v>
      </c>
      <c r="K41" s="1">
        <v>60.722000000000001</v>
      </c>
      <c r="L41" s="1">
        <v>60.093000000000004</v>
      </c>
      <c r="M41" s="1">
        <v>40.677</v>
      </c>
      <c r="N41" s="1">
        <v>52.098999999999997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</row>
    <row r="42" spans="2:48" x14ac:dyDescent="0.2">
      <c r="B42" s="6" t="s">
        <v>58</v>
      </c>
      <c r="C42" s="1">
        <f t="shared" ref="C42" si="126">SUM(C35:C41)</f>
        <v>3550.3699999999994</v>
      </c>
      <c r="D42" s="1">
        <f t="shared" ref="D42:N42" si="127">SUM(D35:D41)</f>
        <v>3375.1289999999999</v>
      </c>
      <c r="E42" s="1">
        <f t="shared" si="127"/>
        <v>3696.9550000000004</v>
      </c>
      <c r="F42" s="1">
        <f t="shared" si="127"/>
        <v>4079.0019999999995</v>
      </c>
      <c r="G42" s="1">
        <f t="shared" si="127"/>
        <v>4569.7479999999996</v>
      </c>
      <c r="H42" s="1">
        <f t="shared" si="127"/>
        <v>4716.1170000000002</v>
      </c>
      <c r="I42" s="1">
        <f t="shared" si="127"/>
        <v>5053.4549999999999</v>
      </c>
      <c r="J42" s="1">
        <f t="shared" si="127"/>
        <v>5184.7920000000013</v>
      </c>
      <c r="K42" s="1">
        <f t="shared" si="127"/>
        <v>7331.3620000000001</v>
      </c>
      <c r="L42" s="1">
        <f t="shared" si="127"/>
        <v>7622.7859999999991</v>
      </c>
      <c r="M42" s="1">
        <f t="shared" si="127"/>
        <v>7748.9489999999996</v>
      </c>
      <c r="N42" s="1">
        <f t="shared" si="127"/>
        <v>7979.4450000000006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</row>
    <row r="43" spans="2:48" x14ac:dyDescent="0.2">
      <c r="B43" s="6" t="s">
        <v>55</v>
      </c>
      <c r="C43" s="1">
        <v>812.91899999999998</v>
      </c>
      <c r="D43" s="1">
        <v>1105.6220000000001</v>
      </c>
      <c r="E43" s="1">
        <v>1204.3699999999999</v>
      </c>
      <c r="F43" s="1">
        <v>1333.5609999999999</v>
      </c>
      <c r="G43" s="1">
        <v>1478.3579999999999</v>
      </c>
      <c r="H43" s="1">
        <v>1609.7049999999999</v>
      </c>
      <c r="I43" s="1">
        <v>1724.874</v>
      </c>
      <c r="J43" s="1">
        <v>1857.7080000000001</v>
      </c>
      <c r="K43" s="1">
        <v>1909.2139999999999</v>
      </c>
      <c r="L43" s="1">
        <v>2032.075</v>
      </c>
      <c r="M43" s="1">
        <f>2167.318</f>
        <v>2167.3180000000002</v>
      </c>
      <c r="N43" s="1">
        <v>2223.4259999999999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</row>
    <row r="44" spans="2:48" x14ac:dyDescent="0.2">
      <c r="B44" s="6" t="s">
        <v>56</v>
      </c>
      <c r="C44" s="1">
        <f t="shared" ref="C44:N44" si="128">C43+C42</f>
        <v>4363.2889999999998</v>
      </c>
      <c r="D44" s="1">
        <f t="shared" si="128"/>
        <v>4480.7510000000002</v>
      </c>
      <c r="E44" s="1">
        <f t="shared" si="128"/>
        <v>4901.3250000000007</v>
      </c>
      <c r="F44" s="1">
        <f t="shared" si="128"/>
        <v>5412.5629999999992</v>
      </c>
      <c r="G44" s="1">
        <f t="shared" si="128"/>
        <v>6048.1059999999998</v>
      </c>
      <c r="H44" s="1">
        <f t="shared" si="128"/>
        <v>6325.8220000000001</v>
      </c>
      <c r="I44" s="1">
        <f t="shared" si="128"/>
        <v>6778.3289999999997</v>
      </c>
      <c r="J44" s="1">
        <f t="shared" si="128"/>
        <v>7042.5000000000018</v>
      </c>
      <c r="K44" s="1">
        <f t="shared" si="128"/>
        <v>9240.5760000000009</v>
      </c>
      <c r="L44" s="1">
        <f t="shared" si="128"/>
        <v>9654.860999999999</v>
      </c>
      <c r="M44" s="1">
        <f t="shared" si="128"/>
        <v>9916.2669999999998</v>
      </c>
      <c r="N44" s="1">
        <f t="shared" si="128"/>
        <v>10202.871000000001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2:48" x14ac:dyDescent="0.2">
      <c r="B45" s="6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  <row r="46" spans="2:48" s="6" customFormat="1" x14ac:dyDescent="0.2">
      <c r="B46" s="6" t="s">
        <v>81</v>
      </c>
      <c r="G46" s="6">
        <f>G43/C43-1</f>
        <v>0.81857971089370518</v>
      </c>
      <c r="H46" s="6">
        <f>H43/D43-1</f>
        <v>0.4559270709157377</v>
      </c>
      <c r="I46" s="6">
        <f t="shared" ref="I46:M46" si="129">I43/E43-1</f>
        <v>0.43217947972799076</v>
      </c>
      <c r="J46" s="6">
        <f t="shared" si="129"/>
        <v>0.39304313788420631</v>
      </c>
      <c r="K46" s="6">
        <f t="shared" si="129"/>
        <v>0.29144226229370696</v>
      </c>
      <c r="L46" s="6">
        <f t="shared" si="129"/>
        <v>0.26238969252130051</v>
      </c>
      <c r="M46" s="6">
        <f t="shared" si="129"/>
        <v>0.25650801159968806</v>
      </c>
      <c r="N46" s="6">
        <f>N43/J43-1</f>
        <v>0.19686516933769993</v>
      </c>
    </row>
    <row r="48" spans="2:48" s="4" customFormat="1" x14ac:dyDescent="0.2">
      <c r="B48" s="11" t="s">
        <v>59</v>
      </c>
      <c r="C48" s="5"/>
      <c r="D48" s="5"/>
      <c r="E48" s="5"/>
      <c r="F48" s="5">
        <f t="shared" ref="F48:N48" si="130">SUM(C14:F14)</f>
        <v>112.40300000000018</v>
      </c>
      <c r="G48" s="5">
        <f t="shared" si="130"/>
        <v>162.82900000000006</v>
      </c>
      <c r="H48" s="5">
        <f t="shared" si="130"/>
        <v>204.37599999999998</v>
      </c>
      <c r="I48" s="5">
        <f t="shared" si="130"/>
        <v>231.84899999999996</v>
      </c>
      <c r="J48" s="5">
        <f t="shared" si="130"/>
        <v>266.79899999999998</v>
      </c>
      <c r="K48" s="5">
        <f t="shared" si="130"/>
        <v>237.37999999999985</v>
      </c>
      <c r="L48" s="5">
        <f t="shared" si="130"/>
        <v>192.69699999999986</v>
      </c>
      <c r="M48" s="5">
        <f t="shared" si="130"/>
        <v>162.83399999999972</v>
      </c>
      <c r="N48" s="5">
        <f t="shared" si="130"/>
        <v>122.64099999999968</v>
      </c>
    </row>
    <row r="49" spans="2:125" s="8" customFormat="1" x14ac:dyDescent="0.2">
      <c r="B49" s="8" t="s">
        <v>60</v>
      </c>
      <c r="F49" s="8">
        <f t="shared" ref="F49:N49" si="131">$N$48/F43</f>
        <v>9.1965046968229935E-2</v>
      </c>
      <c r="G49" s="8">
        <f t="shared" si="131"/>
        <v>8.2957578610864002E-2</v>
      </c>
      <c r="H49" s="8">
        <f t="shared" si="131"/>
        <v>7.6188494165079737E-2</v>
      </c>
      <c r="I49" s="8">
        <f t="shared" si="131"/>
        <v>7.1101425379476807E-2</v>
      </c>
      <c r="J49" s="8">
        <f t="shared" si="131"/>
        <v>6.6017371944352754E-2</v>
      </c>
      <c r="K49" s="8">
        <f t="shared" si="131"/>
        <v>6.4236382092316358E-2</v>
      </c>
      <c r="L49" s="8">
        <f t="shared" si="131"/>
        <v>6.0352595253619912E-2</v>
      </c>
      <c r="M49" s="8">
        <f t="shared" si="131"/>
        <v>5.6586527680755505E-2</v>
      </c>
      <c r="N49" s="8">
        <f t="shared" si="131"/>
        <v>5.5158570602304585E-2</v>
      </c>
    </row>
    <row r="50" spans="2:125" s="8" customFormat="1" x14ac:dyDescent="0.2">
      <c r="B50" s="8" t="s">
        <v>61</v>
      </c>
      <c r="F50" s="8">
        <f t="shared" ref="F50:N50" si="132">$N$48/F32</f>
        <v>2.265858152597941E-2</v>
      </c>
      <c r="G50" s="8">
        <f t="shared" si="132"/>
        <v>2.0277587727463717E-2</v>
      </c>
      <c r="H50" s="8">
        <f t="shared" si="132"/>
        <v>1.9387361832185555E-2</v>
      </c>
      <c r="I50" s="8">
        <f t="shared" si="132"/>
        <v>1.809310229704101E-2</v>
      </c>
      <c r="J50" s="8">
        <f t="shared" si="132"/>
        <v>1.7414412495562609E-2</v>
      </c>
      <c r="K50" s="8">
        <f t="shared" si="132"/>
        <v>1.3271936338512097E-2</v>
      </c>
      <c r="L50" s="8">
        <f t="shared" si="132"/>
        <v>1.2702513272847708E-2</v>
      </c>
      <c r="M50" s="8">
        <f t="shared" si="132"/>
        <v>1.2367658111666385E-2</v>
      </c>
      <c r="N50" s="8">
        <f t="shared" si="132"/>
        <v>1.2020244105801169E-2</v>
      </c>
    </row>
    <row r="51" spans="2:125" s="8" customFormat="1" x14ac:dyDescent="0.2">
      <c r="B51" s="8" t="s">
        <v>62</v>
      </c>
      <c r="F51" s="8">
        <f t="shared" ref="F51:N51" si="133">$N$48/(F32-F27-F29)</f>
        <v>7.5935361355630657E-2</v>
      </c>
      <c r="G51" s="8">
        <f t="shared" si="133"/>
        <v>5.8477834010896172E-2</v>
      </c>
      <c r="H51" s="8">
        <f t="shared" si="133"/>
        <v>5.5982945973519556E-2</v>
      </c>
      <c r="I51" s="8">
        <f t="shared" si="133"/>
        <v>5.7323182513767307E-2</v>
      </c>
      <c r="J51" s="8">
        <f t="shared" si="133"/>
        <v>5.8316056755934112E-2</v>
      </c>
      <c r="K51" s="8">
        <f t="shared" si="133"/>
        <v>3.4470769509245165E-2</v>
      </c>
      <c r="L51" s="8">
        <f t="shared" si="133"/>
        <v>3.5008797801291784E-2</v>
      </c>
      <c r="M51" s="8">
        <f t="shared" si="133"/>
        <v>3.6836950067176334E-2</v>
      </c>
      <c r="N51" s="8">
        <f t="shared" si="133"/>
        <v>4.1098759540705569E-2</v>
      </c>
    </row>
    <row r="52" spans="2:125" s="8" customFormat="1" x14ac:dyDescent="0.2">
      <c r="B52" s="8" t="s">
        <v>63</v>
      </c>
      <c r="F52" s="8">
        <f t="shared" ref="F52:N52" si="134">$N$48/(F32-F29-F27-F26)</f>
        <v>0.29575851408121229</v>
      </c>
      <c r="G52" s="8">
        <f t="shared" si="134"/>
        <v>0.28589045151394293</v>
      </c>
      <c r="H52" s="8">
        <f t="shared" si="134"/>
        <v>0.25747606650990879</v>
      </c>
      <c r="I52" s="8">
        <f t="shared" si="134"/>
        <v>0.25947694579675651</v>
      </c>
      <c r="J52" s="8">
        <f t="shared" si="134"/>
        <v>0.24798804555307447</v>
      </c>
      <c r="K52" s="8">
        <f t="shared" si="134"/>
        <v>0.20436147557646944</v>
      </c>
      <c r="L52" s="8">
        <f t="shared" si="134"/>
        <v>0.1736165574257843</v>
      </c>
      <c r="M52" s="8">
        <f t="shared" si="134"/>
        <v>0.17041732728780992</v>
      </c>
      <c r="N52" s="8">
        <f t="shared" si="134"/>
        <v>0.18213802516109945</v>
      </c>
    </row>
    <row r="55" spans="2:125" x14ac:dyDescent="0.2">
      <c r="B55" s="1" t="s">
        <v>64</v>
      </c>
      <c r="C55" s="1">
        <f t="shared" ref="C55:N55" si="135">C14</f>
        <v>2.689000000000028</v>
      </c>
      <c r="D55" s="1">
        <f t="shared" si="135"/>
        <v>29.471000000000071</v>
      </c>
      <c r="E55" s="1">
        <f t="shared" si="135"/>
        <v>31.822000000000063</v>
      </c>
      <c r="F55" s="1">
        <f t="shared" si="135"/>
        <v>48.421000000000021</v>
      </c>
      <c r="G55" s="1">
        <f t="shared" si="135"/>
        <v>53.114999999999917</v>
      </c>
      <c r="H55" s="1">
        <f t="shared" si="135"/>
        <v>71.017999999999972</v>
      </c>
      <c r="I55" s="1">
        <f t="shared" si="135"/>
        <v>59.295000000000037</v>
      </c>
      <c r="J55" s="1">
        <f t="shared" si="135"/>
        <v>83.371000000000038</v>
      </c>
      <c r="K55" s="1">
        <f t="shared" si="135"/>
        <v>23.695999999999788</v>
      </c>
      <c r="L55" s="1">
        <f t="shared" si="135"/>
        <v>26.33499999999998</v>
      </c>
      <c r="M55" s="1">
        <f t="shared" si="135"/>
        <v>29.43199999999991</v>
      </c>
      <c r="N55" s="1">
        <f t="shared" si="135"/>
        <v>43.177999999999997</v>
      </c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</row>
    <row r="56" spans="2:125" x14ac:dyDescent="0.2">
      <c r="B56" s="1" t="s">
        <v>65</v>
      </c>
      <c r="C56" s="1">
        <v>2.6890000000000001</v>
      </c>
      <c r="D56" s="1">
        <v>31.821999999999999</v>
      </c>
      <c r="E56" s="1">
        <v>31.821999999999999</v>
      </c>
      <c r="F56" s="1">
        <v>48.420999999999999</v>
      </c>
      <c r="G56" s="1">
        <v>53.115000000000002</v>
      </c>
      <c r="H56" s="1">
        <f>H14</f>
        <v>71.017999999999972</v>
      </c>
      <c r="I56" s="1">
        <v>59.295000000000002</v>
      </c>
      <c r="J56" s="1">
        <v>83.370999999999995</v>
      </c>
      <c r="K56" s="1">
        <v>23.696000000000002</v>
      </c>
      <c r="L56" s="1">
        <v>26.335000000000001</v>
      </c>
      <c r="M56" s="1">
        <v>29.431999999999999</v>
      </c>
      <c r="N56" s="1">
        <v>43.177999999999997</v>
      </c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</row>
    <row r="57" spans="2:125" x14ac:dyDescent="0.2">
      <c r="B57" s="1" t="s">
        <v>69</v>
      </c>
      <c r="C57" s="1">
        <v>-591.94100000000003</v>
      </c>
      <c r="D57" s="1">
        <v>-878.31399999999996</v>
      </c>
      <c r="E57" s="1">
        <v>-878.31399999999996</v>
      </c>
      <c r="F57" s="1">
        <v>-986.04899999999998</v>
      </c>
      <c r="G57" s="1">
        <v>-749.399</v>
      </c>
      <c r="H57" s="1">
        <v>-1202.4839999999999</v>
      </c>
      <c r="I57" s="1">
        <v>-1202.4839999999999</v>
      </c>
      <c r="J57" s="1">
        <v>-1013.822</v>
      </c>
      <c r="K57" s="1">
        <v>-1611.925</v>
      </c>
      <c r="L57" s="1">
        <v>-1273.6769999999999</v>
      </c>
      <c r="M57" s="1">
        <v>-1308.943</v>
      </c>
      <c r="N57" s="1">
        <v>-1550.326</v>
      </c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</row>
    <row r="58" spans="2:125" x14ac:dyDescent="0.2">
      <c r="B58" s="1" t="s">
        <v>70</v>
      </c>
      <c r="C58" s="1">
        <v>9.6999999999999993</v>
      </c>
      <c r="D58" s="1">
        <v>310.19099999999997</v>
      </c>
      <c r="E58" s="1">
        <v>310.19099999999997</v>
      </c>
      <c r="F58" s="1">
        <v>346.61</v>
      </c>
      <c r="G58" s="1">
        <v>42.244</v>
      </c>
      <c r="H58" s="1">
        <v>346.75200000000001</v>
      </c>
      <c r="I58" s="1">
        <v>346.75200000000001</v>
      </c>
      <c r="J58" s="1">
        <v>125.77</v>
      </c>
      <c r="K58" s="1">
        <v>626.32500000000005</v>
      </c>
      <c r="L58" s="1">
        <v>191.154</v>
      </c>
      <c r="M58" s="1">
        <v>104.684</v>
      </c>
      <c r="N58" s="1">
        <v>240.25</v>
      </c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</row>
    <row r="59" spans="2:125" x14ac:dyDescent="0.2">
      <c r="B59" s="1" t="s">
        <v>71</v>
      </c>
      <c r="C59" s="1">
        <f>485.74+18.237+12.051</f>
        <v>516.02800000000002</v>
      </c>
      <c r="D59" s="1">
        <f>553.394+17.546+11.452</f>
        <v>582.39200000000005</v>
      </c>
      <c r="E59" s="1">
        <f>553.394+17.546+11.452</f>
        <v>582.39200000000005</v>
      </c>
      <c r="F59" s="1">
        <f>572.597+17.833+12.845</f>
        <v>603.27499999999998</v>
      </c>
      <c r="G59" s="1">
        <f>600.735+16.121+12.382</f>
        <v>629.23799999999994</v>
      </c>
      <c r="H59" s="1">
        <f>686.154+18.269+14.357</f>
        <v>718.78</v>
      </c>
      <c r="I59" s="1">
        <f>686.154+18.269+14.357</f>
        <v>718.78</v>
      </c>
      <c r="J59" s="1">
        <f>730.353+20.178+14.312</f>
        <v>764.84299999999996</v>
      </c>
      <c r="K59" s="1">
        <f>749.518+21.185+15.167</f>
        <v>785.87</v>
      </c>
      <c r="L59" s="1">
        <f>822.6+20.813+15.581</f>
        <v>858.99400000000003</v>
      </c>
      <c r="M59" s="1">
        <f>871.403+18.589+16.047</f>
        <v>906.03899999999999</v>
      </c>
      <c r="N59" s="1">
        <f>961.861+18.793+15.488</f>
        <v>996.14200000000005</v>
      </c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</row>
    <row r="60" spans="2:125" x14ac:dyDescent="0.2">
      <c r="B60" s="1" t="s">
        <v>66</v>
      </c>
      <c r="C60" s="1">
        <v>17.745999999999999</v>
      </c>
      <c r="D60" s="1">
        <v>18.477</v>
      </c>
      <c r="E60" s="1">
        <v>18.477</v>
      </c>
      <c r="F60" s="1">
        <v>18.922000000000001</v>
      </c>
      <c r="G60" s="1">
        <v>25.824999999999999</v>
      </c>
      <c r="H60" s="1">
        <v>29.878</v>
      </c>
      <c r="I60" s="1">
        <v>29.878</v>
      </c>
      <c r="J60" s="1">
        <v>30.251000000000001</v>
      </c>
      <c r="K60" s="1">
        <v>27.440999999999999</v>
      </c>
      <c r="L60" s="1">
        <v>28.59</v>
      </c>
      <c r="M60" s="1">
        <v>32.834000000000003</v>
      </c>
      <c r="N60" s="1">
        <v>35.86</v>
      </c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</row>
    <row r="61" spans="2:125" x14ac:dyDescent="0.2">
      <c r="B61" s="1" t="s">
        <v>72</v>
      </c>
      <c r="C61" s="1">
        <v>-11.615</v>
      </c>
      <c r="D61" s="1">
        <v>-20.492000000000001</v>
      </c>
      <c r="E61" s="1">
        <v>-20.492000000000001</v>
      </c>
      <c r="F61" s="1">
        <v>-29.187999999999999</v>
      </c>
      <c r="G61" s="1">
        <v>-32.731999999999999</v>
      </c>
      <c r="H61" s="1">
        <v>-21.06</v>
      </c>
      <c r="I61" s="1">
        <v>-21.06</v>
      </c>
      <c r="J61" s="1">
        <v>-20.920999999999999</v>
      </c>
      <c r="K61" s="1">
        <v>-29.001000000000001</v>
      </c>
      <c r="L61" s="1">
        <v>-39.427</v>
      </c>
      <c r="M61" s="1">
        <v>-37.725999999999999</v>
      </c>
      <c r="N61" s="1">
        <v>25.683</v>
      </c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</row>
    <row r="62" spans="2:125" x14ac:dyDescent="0.2">
      <c r="B62" s="1" t="s">
        <v>73</v>
      </c>
      <c r="C62" s="1">
        <v>1.75</v>
      </c>
      <c r="D62" s="1">
        <v>1.994</v>
      </c>
      <c r="E62" s="1">
        <v>1.994</v>
      </c>
      <c r="F62" s="1">
        <v>0.4</v>
      </c>
      <c r="G62" s="1">
        <v>2.1960000000000002</v>
      </c>
      <c r="H62" s="1">
        <v>3.36</v>
      </c>
      <c r="I62" s="1">
        <v>3.36</v>
      </c>
      <c r="J62" s="1">
        <v>6.4749999999999996</v>
      </c>
      <c r="K62" s="1">
        <v>6.306</v>
      </c>
      <c r="L62" s="1">
        <v>6.6820000000000004</v>
      </c>
      <c r="M62" s="1">
        <v>10.866</v>
      </c>
      <c r="N62" s="1">
        <v>7.774</v>
      </c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</row>
    <row r="63" spans="2:125" x14ac:dyDescent="0.2">
      <c r="B63" s="1" t="s">
        <v>74</v>
      </c>
      <c r="C63" s="1">
        <v>-6.7480000000000002</v>
      </c>
      <c r="D63" s="1">
        <v>-2.4239999999999999</v>
      </c>
      <c r="E63" s="1">
        <v>-2.4239999999999999</v>
      </c>
      <c r="F63" s="1">
        <v>-10.832000000000001</v>
      </c>
      <c r="G63" s="1">
        <v>-13.103</v>
      </c>
      <c r="H63" s="1">
        <v>-7.8920000000000003</v>
      </c>
      <c r="I63" s="1">
        <v>-7.8920000000000003</v>
      </c>
      <c r="J63" s="1">
        <v>7.5010000000000003</v>
      </c>
      <c r="K63" s="1">
        <v>-37.402000000000001</v>
      </c>
      <c r="L63" s="1">
        <v>-4.2320000000000002</v>
      </c>
      <c r="M63" s="1">
        <v>-29.417000000000002</v>
      </c>
      <c r="N63" s="1">
        <v>12.036</v>
      </c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</row>
    <row r="64" spans="2:125" x14ac:dyDescent="0.2">
      <c r="B64" s="1" t="s">
        <v>45</v>
      </c>
      <c r="C64" s="1">
        <f>2.675-8.402</f>
        <v>-5.7269999999999994</v>
      </c>
      <c r="D64" s="1">
        <f>1.542+8.378</f>
        <v>9.92</v>
      </c>
      <c r="E64" s="1">
        <f>1.542+8.378</f>
        <v>9.92</v>
      </c>
      <c r="F64" s="1">
        <v>24.279</v>
      </c>
      <c r="G64" s="1">
        <v>35.066000000000003</v>
      </c>
      <c r="H64" s="1">
        <v>12.96</v>
      </c>
      <c r="I64" s="1">
        <v>12.96</v>
      </c>
      <c r="J64" s="1">
        <v>-30.539000000000001</v>
      </c>
      <c r="K64" s="1">
        <v>23.109000000000002</v>
      </c>
      <c r="L64" s="1">
        <v>-39.613999999999997</v>
      </c>
      <c r="M64" s="1">
        <v>71.171999999999997</v>
      </c>
      <c r="N64" s="1">
        <v>-62.755000000000003</v>
      </c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</row>
    <row r="65" spans="2:125" x14ac:dyDescent="0.2">
      <c r="B65" s="1" t="s">
        <v>50</v>
      </c>
      <c r="C65" s="1">
        <v>17.103999999999999</v>
      </c>
      <c r="D65" s="1">
        <v>-5.8769999999999998</v>
      </c>
      <c r="E65" s="1">
        <v>-5.8769999999999998</v>
      </c>
      <c r="F65" s="1">
        <v>12.37</v>
      </c>
      <c r="G65" s="1">
        <v>22.812000000000001</v>
      </c>
      <c r="H65" s="1">
        <v>13.003</v>
      </c>
      <c r="I65" s="1">
        <v>13.003</v>
      </c>
      <c r="J65" s="1">
        <v>51.082999999999998</v>
      </c>
      <c r="K65" s="1">
        <v>-10.625</v>
      </c>
      <c r="L65" s="1">
        <v>6.4470000000000001</v>
      </c>
      <c r="M65" s="1">
        <v>6.7619999999999996</v>
      </c>
      <c r="N65" s="1">
        <v>49.030999999999999</v>
      </c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</row>
    <row r="66" spans="2:125" x14ac:dyDescent="0.2">
      <c r="B66" s="1" t="s">
        <v>75</v>
      </c>
      <c r="C66" s="1">
        <v>-4.1319999999999997</v>
      </c>
      <c r="D66" s="1">
        <v>-11.451000000000001</v>
      </c>
      <c r="E66" s="1">
        <v>-11.451000000000001</v>
      </c>
      <c r="F66" s="1">
        <v>7.03</v>
      </c>
      <c r="G66" s="1">
        <v>-0.442</v>
      </c>
      <c r="H66" s="1">
        <v>-6.98</v>
      </c>
      <c r="I66" s="1">
        <v>-6.98</v>
      </c>
      <c r="J66" s="1">
        <v>4.05</v>
      </c>
      <c r="K66" s="1">
        <v>35.921999999999997</v>
      </c>
      <c r="L66" s="1">
        <v>41.624000000000002</v>
      </c>
      <c r="M66" s="1">
        <v>10.882999999999999</v>
      </c>
      <c r="N66" s="1">
        <v>-39.619</v>
      </c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</row>
    <row r="67" spans="2:125" x14ac:dyDescent="0.2">
      <c r="B67" s="1" t="s">
        <v>80</v>
      </c>
      <c r="C67" s="1">
        <v>9.4060000000000006</v>
      </c>
      <c r="D67" s="1">
        <v>9.2520000000000007</v>
      </c>
      <c r="E67" s="1">
        <v>9.2520000000000007</v>
      </c>
      <c r="F67" s="1">
        <v>19.943999999999999</v>
      </c>
      <c r="G67" s="1">
        <v>14.247999999999999</v>
      </c>
      <c r="H67" s="1">
        <v>11.625999999999999</v>
      </c>
      <c r="I67" s="1">
        <v>11.625999999999999</v>
      </c>
      <c r="J67" s="1">
        <v>21.63</v>
      </c>
      <c r="K67" s="1">
        <v>10.754</v>
      </c>
      <c r="L67" s="1">
        <v>16.414000000000001</v>
      </c>
      <c r="M67" s="1">
        <v>27.984999999999999</v>
      </c>
      <c r="N67" s="1">
        <v>16.981999999999999</v>
      </c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</row>
    <row r="68" spans="2:125" x14ac:dyDescent="0.2">
      <c r="B68" s="1" t="s">
        <v>76</v>
      </c>
      <c r="C68" s="1">
        <f>8.446+25.129</f>
        <v>33.575000000000003</v>
      </c>
      <c r="D68" s="1">
        <v>-10.797000000000001</v>
      </c>
      <c r="E68" s="1">
        <v>-10.797000000000001</v>
      </c>
      <c r="F68" s="1">
        <v>-13.737</v>
      </c>
      <c r="G68" s="1">
        <v>7.2910000000000004</v>
      </c>
      <c r="H68" s="1">
        <v>5.3230000000000004</v>
      </c>
      <c r="I68" s="1">
        <v>5.3230000000000004</v>
      </c>
      <c r="J68" s="1">
        <v>-68.153000000000006</v>
      </c>
      <c r="K68" s="1">
        <v>21.788</v>
      </c>
      <c r="L68" s="1">
        <v>-0.63300000000000001</v>
      </c>
      <c r="M68" s="1">
        <v>-20.54</v>
      </c>
      <c r="N68" s="1">
        <v>-18.981000000000002</v>
      </c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</row>
    <row r="69" spans="2:125" x14ac:dyDescent="0.2">
      <c r="B69" s="1" t="s">
        <v>67</v>
      </c>
      <c r="C69" s="1">
        <f t="shared" ref="C69" si="136">SUM(C56:C68)</f>
        <v>-12.165000000000006</v>
      </c>
      <c r="D69" s="1">
        <f t="shared" ref="D69:N69" si="137">SUM(D56:D68)</f>
        <v>34.693000000000126</v>
      </c>
      <c r="E69" s="1">
        <f t="shared" si="137"/>
        <v>34.693000000000126</v>
      </c>
      <c r="F69" s="1">
        <f t="shared" si="137"/>
        <v>41.445000000000057</v>
      </c>
      <c r="G69" s="1">
        <f t="shared" si="137"/>
        <v>36.35899999999998</v>
      </c>
      <c r="H69" s="1">
        <f t="shared" si="137"/>
        <v>-25.71599999999998</v>
      </c>
      <c r="I69" s="1">
        <f t="shared" si="137"/>
        <v>-37.438999999999922</v>
      </c>
      <c r="J69" s="1">
        <f t="shared" si="137"/>
        <v>-38.461000000000091</v>
      </c>
      <c r="K69" s="1">
        <f t="shared" si="137"/>
        <v>-127.742</v>
      </c>
      <c r="L69" s="1">
        <f t="shared" si="137"/>
        <v>-181.34299999999988</v>
      </c>
      <c r="M69" s="1">
        <f t="shared" si="137"/>
        <v>-195.96899999999997</v>
      </c>
      <c r="N69" s="1">
        <f t="shared" si="137"/>
        <v>-244.74500000000006</v>
      </c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</row>
    <row r="70" spans="2:125" x14ac:dyDescent="0.2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</row>
    <row r="71" spans="2:125" x14ac:dyDescent="0.2">
      <c r="B71" s="1" t="s">
        <v>77</v>
      </c>
      <c r="C71" s="1">
        <v>-21.193000000000001</v>
      </c>
      <c r="D71" s="1">
        <v>-15.471</v>
      </c>
      <c r="E71" s="1">
        <v>-15.471</v>
      </c>
      <c r="F71" s="1">
        <v>-15.24</v>
      </c>
      <c r="G71" s="1">
        <v>-14.914</v>
      </c>
      <c r="H71" s="1">
        <v>-15.53</v>
      </c>
      <c r="I71" s="1">
        <v>-15.53</v>
      </c>
      <c r="J71" s="1">
        <v>-23.364999999999998</v>
      </c>
      <c r="K71" s="1">
        <v>-22.905999999999999</v>
      </c>
      <c r="L71" s="1">
        <v>-19.786000000000001</v>
      </c>
      <c r="M71" s="1">
        <v>-14.467000000000001</v>
      </c>
      <c r="N71" s="1">
        <v>-20.798999999999999</v>
      </c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</row>
    <row r="72" spans="2:125" x14ac:dyDescent="0.2">
      <c r="B72" s="1" t="s">
        <v>78</v>
      </c>
      <c r="C72" s="1">
        <v>-12.202999999999999</v>
      </c>
      <c r="D72" s="1">
        <v>-10.827999999999999</v>
      </c>
      <c r="E72" s="1">
        <v>-10.827999999999999</v>
      </c>
      <c r="F72" s="1">
        <v>-23.109000000000002</v>
      </c>
      <c r="G72" s="1">
        <v>-13.334</v>
      </c>
      <c r="H72" s="1">
        <v>-21.032</v>
      </c>
      <c r="I72" s="1">
        <v>-21.032</v>
      </c>
      <c r="J72" s="1">
        <v>-15.491</v>
      </c>
      <c r="K72" s="1">
        <v>-13.036</v>
      </c>
      <c r="L72" s="1">
        <v>-27.538</v>
      </c>
      <c r="M72" s="1">
        <v>-37.82</v>
      </c>
      <c r="N72" s="1">
        <v>-12.853999999999999</v>
      </c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</row>
    <row r="73" spans="2:125" x14ac:dyDescent="0.2">
      <c r="B73" s="1" t="s">
        <v>79</v>
      </c>
      <c r="C73" s="1">
        <v>4.05</v>
      </c>
      <c r="D73" s="1">
        <v>-1.329</v>
      </c>
      <c r="E73" s="1">
        <v>-1.329</v>
      </c>
      <c r="F73" s="1">
        <v>2.1309999999999998</v>
      </c>
      <c r="G73" s="1">
        <v>0.29499999999999998</v>
      </c>
      <c r="H73" s="1">
        <v>0.34100000000000003</v>
      </c>
      <c r="I73" s="1">
        <v>0.34100000000000003</v>
      </c>
      <c r="J73" s="1">
        <v>-0.43099999999999999</v>
      </c>
      <c r="K73" s="1">
        <v>0.22500000000000001</v>
      </c>
      <c r="L73" s="1">
        <v>-0.63900000000000001</v>
      </c>
      <c r="M73" s="1">
        <v>-3.76</v>
      </c>
      <c r="N73" s="1">
        <v>2.262</v>
      </c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</row>
    <row r="74" spans="2:125" x14ac:dyDescent="0.2">
      <c r="B74" s="1" t="s">
        <v>68</v>
      </c>
      <c r="C74" s="1">
        <f>SUM(C69:C73)</f>
        <v>-41.51100000000001</v>
      </c>
      <c r="D74" s="1">
        <f>SUM(D69:D73)</f>
        <v>7.0650000000001265</v>
      </c>
      <c r="E74" s="1">
        <f>SUM(E69:E73)</f>
        <v>7.0650000000001265</v>
      </c>
      <c r="F74" s="1">
        <f>SUM(F69:F73)</f>
        <v>5.2270000000000536</v>
      </c>
      <c r="G74" s="1">
        <f t="shared" ref="G74:M74" si="138">SUM(G69:G73)</f>
        <v>8.4059999999999793</v>
      </c>
      <c r="H74" s="1">
        <f t="shared" si="138"/>
        <v>-61.936999999999976</v>
      </c>
      <c r="I74" s="1">
        <f t="shared" si="138"/>
        <v>-73.659999999999926</v>
      </c>
      <c r="J74" s="1">
        <f t="shared" si="138"/>
        <v>-77.74800000000009</v>
      </c>
      <c r="K74" s="1">
        <f t="shared" si="138"/>
        <v>-163.459</v>
      </c>
      <c r="L74" s="1">
        <f t="shared" si="138"/>
        <v>-229.3059999999999</v>
      </c>
      <c r="M74" s="1">
        <f t="shared" si="138"/>
        <v>-252.01599999999996</v>
      </c>
      <c r="N74" s="1">
        <f>N69+N73+N72+N71</f>
        <v>-276.13600000000002</v>
      </c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</row>
    <row r="75" spans="2:125" s="6" customFormat="1" x14ac:dyDescent="0.2"/>
    <row r="76" spans="2:125" x14ac:dyDescent="0.2">
      <c r="B76" s="1" t="s">
        <v>82</v>
      </c>
      <c r="C76" s="1">
        <v>29.17</v>
      </c>
      <c r="D76" s="1">
        <v>29.81</v>
      </c>
      <c r="E76" s="1">
        <v>31.09</v>
      </c>
      <c r="F76" s="1">
        <v>33.42</v>
      </c>
      <c r="G76" s="1">
        <v>35.67</v>
      </c>
      <c r="H76" s="1">
        <v>36.24</v>
      </c>
      <c r="I76" s="1">
        <v>37.22</v>
      </c>
      <c r="J76" s="1">
        <v>39.11</v>
      </c>
      <c r="K76" s="1">
        <v>41.4</v>
      </c>
      <c r="L76" s="1">
        <v>42.3</v>
      </c>
      <c r="M76" s="1">
        <v>43.18</v>
      </c>
      <c r="N76" s="1">
        <v>44.74</v>
      </c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</row>
    <row r="77" spans="2:125" x14ac:dyDescent="0.2">
      <c r="B77" s="1" t="s">
        <v>86</v>
      </c>
      <c r="C77" s="1">
        <v>27.91</v>
      </c>
      <c r="D77" s="1">
        <v>28.62</v>
      </c>
      <c r="E77" s="1">
        <v>29.93</v>
      </c>
      <c r="F77" s="1">
        <v>31.71</v>
      </c>
      <c r="G77" s="1">
        <v>34.380000000000003</v>
      </c>
      <c r="H77" s="1">
        <v>35.090000000000003</v>
      </c>
      <c r="I77" s="1">
        <v>36.270000000000003</v>
      </c>
      <c r="J77" s="1">
        <v>37.700000000000003</v>
      </c>
      <c r="K77" s="1">
        <v>40.32</v>
      </c>
      <c r="L77" s="1">
        <v>41.06</v>
      </c>
      <c r="M77" s="1">
        <v>42.07</v>
      </c>
      <c r="N77" s="1">
        <v>43.4</v>
      </c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</row>
    <row r="78" spans="2:125" x14ac:dyDescent="0.2">
      <c r="B78" s="1" t="s">
        <v>83</v>
      </c>
      <c r="C78" s="1">
        <v>7.14</v>
      </c>
      <c r="D78" s="1">
        <v>7.75</v>
      </c>
      <c r="E78" s="1">
        <v>9.19</v>
      </c>
      <c r="F78" s="1">
        <v>10.93</v>
      </c>
      <c r="G78" s="1">
        <v>12.68</v>
      </c>
      <c r="H78" s="1">
        <v>13.8</v>
      </c>
      <c r="I78" s="1">
        <v>15.84</v>
      </c>
      <c r="J78" s="1">
        <v>18.28</v>
      </c>
      <c r="K78" s="1">
        <v>20.88</v>
      </c>
      <c r="L78" s="1">
        <v>23.25</v>
      </c>
      <c r="M78" s="1">
        <v>25.99</v>
      </c>
      <c r="N78" s="1">
        <v>30.02</v>
      </c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</row>
    <row r="79" spans="2:125" x14ac:dyDescent="0.2">
      <c r="B79" s="1" t="s">
        <v>87</v>
      </c>
      <c r="C79" s="1">
        <v>6.33</v>
      </c>
      <c r="D79" s="1">
        <v>7.01</v>
      </c>
      <c r="E79" s="1">
        <v>8.08</v>
      </c>
      <c r="F79" s="1">
        <v>9.7200000000000006</v>
      </c>
      <c r="G79" s="1">
        <v>11.76</v>
      </c>
      <c r="H79" s="1">
        <v>12.91</v>
      </c>
      <c r="I79" s="1">
        <v>14.39</v>
      </c>
      <c r="J79" s="1">
        <v>16.78</v>
      </c>
      <c r="K79" s="1">
        <v>19.3</v>
      </c>
      <c r="L79" s="1">
        <v>21.65</v>
      </c>
      <c r="M79" s="1">
        <v>23.95</v>
      </c>
      <c r="N79" s="1">
        <v>27.44</v>
      </c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</row>
    <row r="80" spans="2:125" s="4" customFormat="1" x14ac:dyDescent="0.2">
      <c r="B80" s="5" t="s">
        <v>84</v>
      </c>
      <c r="C80" s="5">
        <f t="shared" ref="C80:N80" si="139">C76+C78</f>
        <v>36.31</v>
      </c>
      <c r="D80" s="5">
        <f t="shared" si="139"/>
        <v>37.56</v>
      </c>
      <c r="E80" s="5">
        <f t="shared" si="139"/>
        <v>40.28</v>
      </c>
      <c r="F80" s="5">
        <f t="shared" si="139"/>
        <v>44.35</v>
      </c>
      <c r="G80" s="5">
        <f t="shared" si="139"/>
        <v>48.35</v>
      </c>
      <c r="H80" s="5">
        <f t="shared" si="139"/>
        <v>50.040000000000006</v>
      </c>
      <c r="I80" s="5">
        <f t="shared" si="139"/>
        <v>53.06</v>
      </c>
      <c r="J80" s="5">
        <f t="shared" si="139"/>
        <v>57.39</v>
      </c>
      <c r="K80" s="5">
        <f t="shared" si="139"/>
        <v>62.28</v>
      </c>
      <c r="L80" s="5">
        <f t="shared" si="139"/>
        <v>65.55</v>
      </c>
      <c r="M80" s="5">
        <f t="shared" si="139"/>
        <v>69.17</v>
      </c>
      <c r="N80" s="5">
        <f t="shared" si="139"/>
        <v>74.760000000000005</v>
      </c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</row>
    <row r="81" spans="2:125" x14ac:dyDescent="0.2">
      <c r="B81" s="1" t="s">
        <v>85</v>
      </c>
      <c r="C81" s="1">
        <v>7.98</v>
      </c>
      <c r="D81" s="1">
        <v>7.51</v>
      </c>
      <c r="E81" s="1">
        <v>7.15</v>
      </c>
      <c r="F81" s="1">
        <v>6.9</v>
      </c>
      <c r="G81" s="1">
        <v>6.7</v>
      </c>
      <c r="H81" s="1">
        <v>6.3</v>
      </c>
      <c r="I81" s="1">
        <v>6</v>
      </c>
      <c r="J81" s="1">
        <v>5.8</v>
      </c>
      <c r="K81" s="1">
        <v>5.5</v>
      </c>
      <c r="L81" s="1">
        <v>5.3</v>
      </c>
      <c r="M81" s="1">
        <v>5</v>
      </c>
      <c r="N81" s="1">
        <v>4.9000000000000004</v>
      </c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</row>
    <row r="82" spans="2:125" s="6" customFormat="1" x14ac:dyDescent="0.2">
      <c r="B82" s="6" t="s">
        <v>91</v>
      </c>
      <c r="G82" s="6">
        <f t="shared" ref="G82:I82" si="140">G80/C80-1</f>
        <v>0.33158909391352243</v>
      </c>
      <c r="H82" s="6">
        <f t="shared" si="140"/>
        <v>0.33226837060702885</v>
      </c>
      <c r="I82" s="6">
        <f t="shared" si="140"/>
        <v>0.3172790466732871</v>
      </c>
      <c r="J82" s="6">
        <f>J80/F80-1</f>
        <v>0.29402480270574971</v>
      </c>
      <c r="K82" s="6">
        <f>K80/G80-1</f>
        <v>0.28810754912099279</v>
      </c>
      <c r="L82" s="6">
        <f>L80/H80-1</f>
        <v>0.30995203836930441</v>
      </c>
      <c r="M82" s="6">
        <f>M80/I80-1</f>
        <v>0.30361854504334707</v>
      </c>
      <c r="N82" s="6">
        <f>N80/J80-1</f>
        <v>0.30266596968112913</v>
      </c>
    </row>
    <row r="83" spans="2:125" x14ac:dyDescent="0.2">
      <c r="B83" s="1" t="s">
        <v>88</v>
      </c>
      <c r="C83" s="1"/>
      <c r="D83" s="1">
        <v>4</v>
      </c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</row>
    <row r="84" spans="2:125" x14ac:dyDescent="0.2">
      <c r="B84" s="1" t="s">
        <v>89</v>
      </c>
      <c r="C84" s="1"/>
      <c r="D84" s="1">
        <v>4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</row>
    <row r="85" spans="2:125" x14ac:dyDescent="0.2">
      <c r="B85" s="1" t="s">
        <v>90</v>
      </c>
      <c r="C85" s="1"/>
      <c r="D85" s="1"/>
      <c r="E85" s="1"/>
      <c r="F85" s="1"/>
      <c r="G85" s="1">
        <v>130</v>
      </c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</row>
    <row r="86" spans="2:125" x14ac:dyDescent="0.2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</row>
    <row r="87" spans="2:125" x14ac:dyDescent="0.2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</row>
    <row r="88" spans="2:125" x14ac:dyDescent="0.2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</row>
    <row r="89" spans="2:125" x14ac:dyDescent="0.2"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</row>
    <row r="90" spans="2:125" x14ac:dyDescent="0.2"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</row>
  </sheetData>
  <phoneticPr fontId="4" type="noConversion"/>
  <hyperlinks>
    <hyperlink ref="A1" location="'Basics '!A1" display="main"/>
  </hyperlinks>
  <pageMargins left="0.7" right="0.7" top="0.75" bottom="0.75" header="0.3" footer="0.3"/>
  <pageSetup orientation="portrait" horizontalDpi="0" verticalDpi="0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Basics </vt:lpstr>
      <vt:lpstr>DCF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2017-01-15T21:31:07Z</dcterms:created>
  <dcterms:modified xsi:type="dcterms:W3CDTF">2017-01-18T20:52:47Z</dcterms:modified>
</cp:coreProperties>
</file>